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2685" yWindow="60" windowWidth="11580" windowHeight="8145" tabRatio="873" firstSheet="17" activeTab="17"/>
  </bookViews>
  <sheets>
    <sheet name="Introduction" sheetId="37" state="hidden" r:id="rId1"/>
    <sheet name="PLAN DE FINANCEMENT SIMPLE" sheetId="41" state="hidden" r:id="rId2"/>
    <sheet name="1.0 Plan de financement" sheetId="18" state="hidden" r:id="rId3"/>
    <sheet name="1.0b Plan de financement RPI" sheetId="39" state="hidden" r:id="rId4"/>
    <sheet name="1.1 Détails Investissements" sheetId="17" state="hidden" r:id="rId5"/>
    <sheet name="1.2 Détails stocks" sheetId="13" state="hidden" r:id="rId6"/>
    <sheet name="1.3 Ma trésorerie de départ" sheetId="15" state="hidden" r:id="rId7"/>
    <sheet name="1,31 BFR" sheetId="14" state="hidden" r:id="rId8"/>
    <sheet name="3.0 Compte de résultat" sheetId="11" state="hidden" r:id="rId9"/>
    <sheet name="3,01 caf" sheetId="32" state="hidden" r:id="rId10"/>
    <sheet name="3.1 Détails charges fixes" sheetId="10" state="hidden" r:id="rId11"/>
    <sheet name="3,10 sal" sheetId="34" state="hidden" r:id="rId12"/>
    <sheet name="3,12 amort" sheetId="8" state="hidden" r:id="rId13"/>
    <sheet name="3,131 int emprunts" sheetId="7" state="hidden" r:id="rId14"/>
    <sheet name="3,5 coeff-taux" sheetId="4" state="hidden" r:id="rId15"/>
    <sheet name="3,51 taux pond" sheetId="23" state="hidden" r:id="rId16"/>
    <sheet name="3,6 ca mini" sheetId="22" state="hidden" r:id="rId17"/>
    <sheet name="4 trésorerie" sheetId="2" r:id="rId18"/>
    <sheet name="5,0 Analyses" sheetId="36" state="hidden" r:id="rId19"/>
    <sheet name="5,1 SIG" sheetId="3" state="hidden" r:id="rId20"/>
    <sheet name="CHRONO DEVIS" sheetId="40" r:id="rId21"/>
    <sheet name="CHRONO FACTURE" sheetId="45" r:id="rId22"/>
    <sheet name="Graphiques analyse" sheetId="44" state="hidden" r:id="rId23"/>
    <sheet name="Listes déroulantes" sheetId="43" r:id="rId24"/>
  </sheets>
  <definedNames>
    <definedName name="_xlnm.Print_Area" localSheetId="7">'1,31 BFR'!$A$1:$G$58</definedName>
    <definedName name="_xlnm.Print_Area" localSheetId="2">'1.0 Plan de financement'!$A$1:$I$31</definedName>
    <definedName name="_xlnm.Print_Area" localSheetId="3">'1.0b Plan de financement RPI'!$A$1:$I$31</definedName>
    <definedName name="_xlnm.Print_Area" localSheetId="4">'1.1 Détails Investissements'!$A$1:$E$62</definedName>
    <definedName name="_xlnm.Print_Area" localSheetId="5">'1.2 Détails stocks'!$A$1:$G$23</definedName>
    <definedName name="_xlnm.Print_Area" localSheetId="6">'1.3 Ma trésorerie de départ'!$A$1:$D$33</definedName>
    <definedName name="_xlnm.Print_Area" localSheetId="9">'3,01 caf'!$A$1:$E$17</definedName>
    <definedName name="_xlnm.Print_Area" localSheetId="14">'3,5 coeff-taux'!$A$1:$J$23</definedName>
    <definedName name="_xlnm.Print_Area" localSheetId="15">'3,51 taux pond'!$A$1:$E$33</definedName>
    <definedName name="_xlnm.Print_Area" localSheetId="16">'3,6 ca mini'!$A$1:$G$37</definedName>
    <definedName name="_xlnm.Print_Area" localSheetId="8">'3.0 Compte de résultat'!$A$1:$F$34</definedName>
    <definedName name="_xlnm.Print_Area" localSheetId="10">'3.1 Détails charges fixes'!$A$1:$E$78</definedName>
    <definedName name="_xlnm.Print_Area" localSheetId="17">'4 trésorerie'!$A$1:$O$76</definedName>
    <definedName name="_xlnm.Print_Area" localSheetId="19">'5,1 SIG'!$A$1:$G$43</definedName>
    <definedName name="_xlnm.Print_Area" localSheetId="1">'PLAN DE FINANCEMENT SIMPLE'!$A$1:$I$31</definedName>
  </definedNames>
  <calcPr calcId="125725"/>
</workbook>
</file>

<file path=xl/calcChain.xml><?xml version="1.0" encoding="utf-8"?>
<calcChain xmlns="http://schemas.openxmlformats.org/spreadsheetml/2006/main">
  <c r="I31" i="2"/>
  <c r="I44"/>
  <c r="I40"/>
  <c r="I45"/>
  <c r="H12"/>
  <c r="H45"/>
  <c r="G10"/>
  <c r="G51"/>
  <c r="F12"/>
  <c r="D44"/>
  <c r="D51"/>
  <c r="D10"/>
  <c r="P16" l="1"/>
  <c r="P17"/>
  <c r="P19"/>
  <c r="P20"/>
  <c r="P21"/>
  <c r="P22"/>
  <c r="P23"/>
  <c r="P24"/>
  <c r="P25"/>
  <c r="P26"/>
  <c r="P27"/>
  <c r="P30"/>
  <c r="P31"/>
  <c r="P32"/>
  <c r="P33"/>
  <c r="P34"/>
  <c r="P35"/>
  <c r="P36"/>
  <c r="P37"/>
  <c r="P38"/>
  <c r="P39"/>
  <c r="P41"/>
  <c r="P43"/>
  <c r="P46"/>
  <c r="P48"/>
  <c r="P49"/>
  <c r="P52"/>
  <c r="P53"/>
  <c r="P54"/>
  <c r="P55"/>
  <c r="P56"/>
  <c r="P57"/>
  <c r="P58"/>
  <c r="P59"/>
  <c r="P61"/>
  <c r="P62"/>
  <c r="P63"/>
  <c r="P64"/>
  <c r="P66"/>
  <c r="P70"/>
  <c r="P72"/>
  <c r="P73"/>
  <c r="P50" l="1"/>
  <c r="P47" l="1"/>
  <c r="P65"/>
  <c r="P42"/>
  <c r="P44"/>
  <c r="P29"/>
  <c r="P28"/>
  <c r="P60"/>
  <c r="P40"/>
  <c r="O90"/>
  <c r="N90"/>
  <c r="M90"/>
  <c r="L90"/>
  <c r="K90"/>
  <c r="J90"/>
  <c r="I90"/>
  <c r="H90"/>
  <c r="G90"/>
  <c r="F90"/>
  <c r="C90"/>
  <c r="D90"/>
  <c r="E90"/>
  <c r="P7" i="45"/>
  <c r="P8"/>
  <c r="N6"/>
  <c r="S6"/>
  <c r="T6"/>
  <c r="N7"/>
  <c r="N8"/>
  <c r="P6"/>
  <c r="O10"/>
  <c r="E6"/>
  <c r="D6"/>
  <c r="A6"/>
  <c r="O9"/>
  <c r="P9"/>
  <c r="B16" i="40"/>
  <c r="B15"/>
  <c r="B14"/>
  <c r="E14"/>
  <c r="E18"/>
  <c r="L11"/>
  <c r="O9"/>
  <c r="M9"/>
  <c r="O7"/>
  <c r="M7"/>
  <c r="O6"/>
  <c r="M6"/>
  <c r="D21" i="11"/>
  <c r="B56" i="2"/>
  <c r="B51"/>
  <c r="B50"/>
  <c r="B49"/>
  <c r="B44"/>
  <c r="B42"/>
  <c r="B41"/>
  <c r="B40"/>
  <c r="B39"/>
  <c r="B38"/>
  <c r="B36"/>
  <c r="B34"/>
  <c r="B33"/>
  <c r="B32"/>
  <c r="B31"/>
  <c r="B28"/>
  <c r="B27"/>
  <c r="B25"/>
  <c r="B24"/>
  <c r="B23"/>
  <c r="B22"/>
  <c r="B21"/>
  <c r="L19" i="22"/>
  <c r="H10" i="7"/>
  <c r="H11"/>
  <c r="H12"/>
  <c r="H13"/>
  <c r="A24"/>
  <c r="A10"/>
  <c r="E7" i="34"/>
  <c r="E16"/>
  <c r="C54" i="10"/>
  <c r="D18" i="11" s="1"/>
  <c r="C55" i="17"/>
  <c r="C56"/>
  <c r="C57"/>
  <c r="C58"/>
  <c r="C59"/>
  <c r="C54"/>
  <c r="C46"/>
  <c r="C47"/>
  <c r="C48"/>
  <c r="C49"/>
  <c r="C50"/>
  <c r="C51"/>
  <c r="C52"/>
  <c r="C45"/>
  <c r="C42"/>
  <c r="C43"/>
  <c r="C41"/>
  <c r="C32"/>
  <c r="C33"/>
  <c r="C34"/>
  <c r="C35"/>
  <c r="C36"/>
  <c r="C37"/>
  <c r="C38"/>
  <c r="C39"/>
  <c r="C31"/>
  <c r="C18"/>
  <c r="C19"/>
  <c r="C20"/>
  <c r="C21"/>
  <c r="C22"/>
  <c r="C23"/>
  <c r="C24"/>
  <c r="C25"/>
  <c r="C26"/>
  <c r="C27"/>
  <c r="C28"/>
  <c r="C29"/>
  <c r="C17"/>
  <c r="C15"/>
  <c r="C7"/>
  <c r="C8"/>
  <c r="C9"/>
  <c r="C6"/>
  <c r="B47" i="10"/>
  <c r="C17" i="41"/>
  <c r="C21"/>
  <c r="C22"/>
  <c r="C25"/>
  <c r="C26"/>
  <c r="I12"/>
  <c r="I25"/>
  <c r="I13"/>
  <c r="I19"/>
  <c r="I26"/>
  <c r="E26"/>
  <c r="D26"/>
  <c r="E6"/>
  <c r="E18" s="1"/>
  <c r="D6"/>
  <c r="D18" s="1"/>
  <c r="E17"/>
  <c r="E60" i="17"/>
  <c r="D17" i="41"/>
  <c r="E15"/>
  <c r="E53" i="17"/>
  <c r="D15" i="41"/>
  <c r="J14"/>
  <c r="E14"/>
  <c r="E44" i="17"/>
  <c r="D14" i="41"/>
  <c r="J13"/>
  <c r="E13"/>
  <c r="E40" i="17"/>
  <c r="D13" i="41"/>
  <c r="J12"/>
  <c r="D30" i="17"/>
  <c r="E12" i="41"/>
  <c r="E30" i="17"/>
  <c r="D12" i="41"/>
  <c r="E11"/>
  <c r="E16" i="17"/>
  <c r="D11" i="41"/>
  <c r="E10"/>
  <c r="E14" i="17"/>
  <c r="D10" i="41"/>
  <c r="E9"/>
  <c r="E12" i="17"/>
  <c r="D9" i="41"/>
  <c r="E8"/>
  <c r="E10" i="17"/>
  <c r="D8" i="41"/>
  <c r="E7"/>
  <c r="E5" i="17"/>
  <c r="D7" i="41"/>
  <c r="D13" i="15"/>
  <c r="D10" i="11"/>
  <c r="D11"/>
  <c r="B30" i="17"/>
  <c r="D44"/>
  <c r="C44"/>
  <c r="B44"/>
  <c r="D16"/>
  <c r="C16"/>
  <c r="D23" i="15"/>
  <c r="D21"/>
  <c r="D22"/>
  <c r="D30"/>
  <c r="E26" i="39"/>
  <c r="D26"/>
  <c r="I25"/>
  <c r="C23" i="13"/>
  <c r="F23"/>
  <c r="C19" i="39"/>
  <c r="E17"/>
  <c r="D17"/>
  <c r="B60" i="17"/>
  <c r="D60"/>
  <c r="C16" i="39"/>
  <c r="E15"/>
  <c r="D15"/>
  <c r="E14"/>
  <c r="D14"/>
  <c r="E13"/>
  <c r="D13"/>
  <c r="E12"/>
  <c r="D12"/>
  <c r="E11"/>
  <c r="D11"/>
  <c r="E10"/>
  <c r="D10"/>
  <c r="E9"/>
  <c r="D9"/>
  <c r="B14" i="17"/>
  <c r="D14"/>
  <c r="C9" i="39"/>
  <c r="E8"/>
  <c r="D8"/>
  <c r="B12" i="17"/>
  <c r="D12"/>
  <c r="C8" i="39"/>
  <c r="E7"/>
  <c r="D7"/>
  <c r="E6"/>
  <c r="E18" s="1"/>
  <c r="D6"/>
  <c r="D18" s="1"/>
  <c r="B18" i="2"/>
  <c r="J20" i="7"/>
  <c r="K20"/>
  <c r="J23" s="1"/>
  <c r="J32"/>
  <c r="I29"/>
  <c r="K32"/>
  <c r="D73" i="10" s="1"/>
  <c r="H17" i="7"/>
  <c r="H23"/>
  <c r="H24"/>
  <c r="H25"/>
  <c r="H26"/>
  <c r="H27"/>
  <c r="H3"/>
  <c r="M15"/>
  <c r="L15"/>
  <c r="K15"/>
  <c r="J15"/>
  <c r="I15"/>
  <c r="H9"/>
  <c r="J6"/>
  <c r="K6" s="1"/>
  <c r="J9" s="1"/>
  <c r="I9"/>
  <c r="A17"/>
  <c r="A23"/>
  <c r="A25"/>
  <c r="A26"/>
  <c r="B28"/>
  <c r="C28"/>
  <c r="D28"/>
  <c r="E28"/>
  <c r="F28"/>
  <c r="B29"/>
  <c r="C29"/>
  <c r="D29"/>
  <c r="E29"/>
  <c r="F29"/>
  <c r="B30"/>
  <c r="C30"/>
  <c r="D30"/>
  <c r="E30"/>
  <c r="F30"/>
  <c r="B31"/>
  <c r="C31"/>
  <c r="D31"/>
  <c r="E31"/>
  <c r="F31"/>
  <c r="B32"/>
  <c r="C32"/>
  <c r="D32"/>
  <c r="E32"/>
  <c r="F32"/>
  <c r="B33"/>
  <c r="C33"/>
  <c r="D33"/>
  <c r="E33"/>
  <c r="F33"/>
  <c r="B34"/>
  <c r="C34"/>
  <c r="D34"/>
  <c r="E34"/>
  <c r="F34"/>
  <c r="B35"/>
  <c r="C35"/>
  <c r="D35"/>
  <c r="E35"/>
  <c r="F35"/>
  <c r="B36"/>
  <c r="C36"/>
  <c r="D36"/>
  <c r="E36"/>
  <c r="F36"/>
  <c r="B37"/>
  <c r="C37"/>
  <c r="D37"/>
  <c r="E37"/>
  <c r="F37"/>
  <c r="A3"/>
  <c r="C6"/>
  <c r="D6" s="1"/>
  <c r="C9" s="1"/>
  <c r="D15" i="15"/>
  <c r="D16"/>
  <c r="D17"/>
  <c r="D18"/>
  <c r="D19"/>
  <c r="D20"/>
  <c r="D24"/>
  <c r="D26"/>
  <c r="D27"/>
  <c r="D28"/>
  <c r="D29"/>
  <c r="D31"/>
  <c r="B53" i="17"/>
  <c r="D53"/>
  <c r="C14" i="39"/>
  <c r="C13"/>
  <c r="D40" i="17"/>
  <c r="B40"/>
  <c r="C12" i="39"/>
  <c r="C40" i="17"/>
  <c r="C11" i="39"/>
  <c r="B13" i="8"/>
  <c r="E13" s="1"/>
  <c r="B16" i="17"/>
  <c r="C10" i="39"/>
  <c r="D5" i="17"/>
  <c r="B5"/>
  <c r="C6" i="39"/>
  <c r="I25" i="18"/>
  <c r="B11" i="8"/>
  <c r="F11" s="1"/>
  <c r="D9" i="15"/>
  <c r="D10"/>
  <c r="D12"/>
  <c r="C5" i="14"/>
  <c r="C7" s="1"/>
  <c r="C20"/>
  <c r="D7" i="15"/>
  <c r="D8"/>
  <c r="D14"/>
  <c r="C30" i="17"/>
  <c r="C14" i="10"/>
  <c r="B26" i="2" s="1"/>
  <c r="C12" i="10"/>
  <c r="C39"/>
  <c r="D16" i="11"/>
  <c r="C11" i="18"/>
  <c r="C14"/>
  <c r="B10" i="17"/>
  <c r="D10"/>
  <c r="C7" i="39"/>
  <c r="C7" i="18"/>
  <c r="B9" i="8"/>
  <c r="F9" s="1"/>
  <c r="C9" i="18"/>
  <c r="C16"/>
  <c r="D23" i="13"/>
  <c r="G23"/>
  <c r="C18" i="39"/>
  <c r="C18" i="18"/>
  <c r="C19"/>
  <c r="C14" i="17"/>
  <c r="C53"/>
  <c r="C60"/>
  <c r="E6" i="13"/>
  <c r="E7"/>
  <c r="E8"/>
  <c r="E9"/>
  <c r="E10"/>
  <c r="E11"/>
  <c r="E12"/>
  <c r="E13"/>
  <c r="E14"/>
  <c r="E15"/>
  <c r="E16"/>
  <c r="E17"/>
  <c r="E18"/>
  <c r="E19"/>
  <c r="E20"/>
  <c r="E21"/>
  <c r="E22"/>
  <c r="E23"/>
  <c r="C22" i="39"/>
  <c r="E26" i="18"/>
  <c r="D26"/>
  <c r="D6"/>
  <c r="D7"/>
  <c r="D8"/>
  <c r="D9"/>
  <c r="D10"/>
  <c r="D11"/>
  <c r="D12"/>
  <c r="D13"/>
  <c r="D14"/>
  <c r="D15"/>
  <c r="D17"/>
  <c r="E6"/>
  <c r="E7"/>
  <c r="E8"/>
  <c r="E9"/>
  <c r="E10"/>
  <c r="E11"/>
  <c r="E12"/>
  <c r="E13"/>
  <c r="E14"/>
  <c r="E15"/>
  <c r="E17"/>
  <c r="D62" i="17"/>
  <c r="I7" i="39"/>
  <c r="I12" s="1"/>
  <c r="D6" i="15"/>
  <c r="G13" i="17"/>
  <c r="A3"/>
  <c r="A2" i="13"/>
  <c r="A2" i="15"/>
  <c r="G20" i="14"/>
  <c r="E20"/>
  <c r="E10" i="11"/>
  <c r="E5" i="14"/>
  <c r="E32" s="1"/>
  <c r="E34" s="1"/>
  <c r="E39" s="1"/>
  <c r="E44" s="1"/>
  <c r="F10" i="11"/>
  <c r="G5" i="14"/>
  <c r="G32" s="1"/>
  <c r="G34" s="1"/>
  <c r="G39" s="1"/>
  <c r="G44" s="1"/>
  <c r="D14" i="11"/>
  <c r="E8" i="34"/>
  <c r="E9"/>
  <c r="E10"/>
  <c r="E11"/>
  <c r="E12"/>
  <c r="E13"/>
  <c r="E14"/>
  <c r="E15"/>
  <c r="C70" i="10"/>
  <c r="D29" i="11"/>
  <c r="E11"/>
  <c r="D12" i="10"/>
  <c r="E14" i="11"/>
  <c r="D24" i="10"/>
  <c r="E15" i="11"/>
  <c r="D39" i="10"/>
  <c r="E16" i="11"/>
  <c r="F11"/>
  <c r="E12" i="10"/>
  <c r="F14" i="11"/>
  <c r="E24" i="10"/>
  <c r="F15" i="11"/>
  <c r="E39" i="10"/>
  <c r="F16" i="11"/>
  <c r="A2"/>
  <c r="E70" i="10"/>
  <c r="F21" i="11"/>
  <c r="D70" i="10"/>
  <c r="E21" i="11"/>
  <c r="E77" i="10"/>
  <c r="F29" i="11"/>
  <c r="D77" i="10"/>
  <c r="E29" i="11"/>
  <c r="E35" i="34"/>
  <c r="E36"/>
  <c r="E37"/>
  <c r="E38"/>
  <c r="E39"/>
  <c r="E40"/>
  <c r="E41"/>
  <c r="E42"/>
  <c r="E43"/>
  <c r="E44"/>
  <c r="E54" i="10"/>
  <c r="E47"/>
  <c r="E21" i="34"/>
  <c r="E22"/>
  <c r="E23"/>
  <c r="E24"/>
  <c r="E25"/>
  <c r="E26"/>
  <c r="E27"/>
  <c r="E28"/>
  <c r="E29"/>
  <c r="E30"/>
  <c r="D54" i="10"/>
  <c r="D57" s="1"/>
  <c r="D61" s="1"/>
  <c r="E19" i="11" s="1"/>
  <c r="B8" i="8"/>
  <c r="E8" s="1"/>
  <c r="B12"/>
  <c r="E12" s="1"/>
  <c r="B14"/>
  <c r="E14" s="1"/>
  <c r="B16"/>
  <c r="E16" s="1"/>
  <c r="B18"/>
  <c r="E18" s="1"/>
  <c r="B20"/>
  <c r="E20" s="1"/>
  <c r="F8"/>
  <c r="A9" i="7"/>
  <c r="A11"/>
  <c r="A12"/>
  <c r="A13"/>
  <c r="C77" i="10"/>
  <c r="A2"/>
  <c r="F15" i="7"/>
  <c r="E15"/>
  <c r="D15"/>
  <c r="C15"/>
  <c r="B15"/>
  <c r="J20" i="4"/>
  <c r="J18"/>
  <c r="J16"/>
  <c r="J13"/>
  <c r="J11"/>
  <c r="J9"/>
  <c r="J6"/>
  <c r="E22" i="23"/>
  <c r="D22"/>
  <c r="D24"/>
  <c r="E24"/>
  <c r="D23"/>
  <c r="E23"/>
  <c r="C24"/>
  <c r="C23"/>
  <c r="C22"/>
  <c r="D21"/>
  <c r="E21"/>
  <c r="C21"/>
  <c r="D15"/>
  <c r="D28"/>
  <c r="D31"/>
  <c r="D33"/>
  <c r="E15"/>
  <c r="E28"/>
  <c r="E31"/>
  <c r="E33"/>
  <c r="C15"/>
  <c r="C28"/>
  <c r="C31"/>
  <c r="C33"/>
  <c r="B48" i="2"/>
  <c r="B66"/>
  <c r="B20"/>
  <c r="A38"/>
  <c r="A56"/>
  <c r="A25"/>
  <c r="B53"/>
  <c r="B52"/>
  <c r="B46"/>
  <c r="B19"/>
  <c r="C81"/>
  <c r="J79"/>
  <c r="J80" s="1"/>
  <c r="D79"/>
  <c r="E79"/>
  <c r="H79"/>
  <c r="I79"/>
  <c r="O79"/>
  <c r="N79"/>
  <c r="M79"/>
  <c r="L79"/>
  <c r="K79"/>
  <c r="G79"/>
  <c r="F79"/>
  <c r="B63"/>
  <c r="B62"/>
  <c r="B60"/>
  <c r="B37"/>
  <c r="K14" i="36"/>
  <c r="K48"/>
  <c r="K36"/>
  <c r="K8"/>
  <c r="K45"/>
  <c r="K41"/>
  <c r="K42"/>
  <c r="K30"/>
  <c r="K17"/>
  <c r="K20"/>
  <c r="K24"/>
  <c r="K25"/>
  <c r="K18"/>
  <c r="I14"/>
  <c r="I48"/>
  <c r="I36"/>
  <c r="I8"/>
  <c r="I45"/>
  <c r="I41"/>
  <c r="I42"/>
  <c r="I30"/>
  <c r="I17"/>
  <c r="I20"/>
  <c r="I24"/>
  <c r="I25"/>
  <c r="I18"/>
  <c r="G14"/>
  <c r="G48"/>
  <c r="G36"/>
  <c r="G8"/>
  <c r="G45"/>
  <c r="G41"/>
  <c r="G42"/>
  <c r="G30"/>
  <c r="G17"/>
  <c r="G20"/>
  <c r="G24"/>
  <c r="G25"/>
  <c r="G18"/>
  <c r="E14"/>
  <c r="E48"/>
  <c r="E36"/>
  <c r="E8"/>
  <c r="E45"/>
  <c r="E41"/>
  <c r="E42"/>
  <c r="E30"/>
  <c r="E17"/>
  <c r="E20"/>
  <c r="E24"/>
  <c r="E25"/>
  <c r="E18"/>
  <c r="C14"/>
  <c r="C41"/>
  <c r="C42"/>
  <c r="C48"/>
  <c r="C8"/>
  <c r="C36"/>
  <c r="C45"/>
  <c r="C30"/>
  <c r="C17"/>
  <c r="C20"/>
  <c r="C24"/>
  <c r="C25"/>
  <c r="C18"/>
  <c r="C21"/>
  <c r="B7" i="3"/>
  <c r="B8"/>
  <c r="B9" s="1"/>
  <c r="B10"/>
  <c r="B13" s="1"/>
  <c r="B14"/>
  <c r="B15"/>
  <c r="B34"/>
  <c r="B33"/>
  <c r="B35" s="1"/>
  <c r="B30"/>
  <c r="F9"/>
  <c r="F13"/>
  <c r="F16"/>
  <c r="F35"/>
  <c r="D9"/>
  <c r="D13"/>
  <c r="D16"/>
  <c r="D19"/>
  <c r="D23"/>
  <c r="D29"/>
  <c r="D32"/>
  <c r="D35"/>
  <c r="D37"/>
  <c r="B36"/>
  <c r="B25"/>
  <c r="F19"/>
  <c r="F23"/>
  <c r="F29"/>
  <c r="F32"/>
  <c r="F37"/>
  <c r="F17"/>
  <c r="D48" i="10"/>
  <c r="D55"/>
  <c r="E18" i="11" s="1"/>
  <c r="D47" i="10"/>
  <c r="D50" s="1"/>
  <c r="E17" i="11" s="1"/>
  <c r="D17" i="3"/>
  <c r="E21" i="36"/>
  <c r="G21"/>
  <c r="I21"/>
  <c r="K21"/>
  <c r="E55" i="10"/>
  <c r="F18" i="11" s="1"/>
  <c r="E48" i="10"/>
  <c r="E9" i="8"/>
  <c r="B19"/>
  <c r="D19" s="1"/>
  <c r="B17"/>
  <c r="D17" s="1"/>
  <c r="B15"/>
  <c r="D15" s="1"/>
  <c r="B7"/>
  <c r="D7" s="1"/>
  <c r="E19"/>
  <c r="C10" i="18"/>
  <c r="C47" i="10"/>
  <c r="B9" i="7"/>
  <c r="D9" s="1"/>
  <c r="I23"/>
  <c r="F18" i="8"/>
  <c r="F17"/>
  <c r="F16"/>
  <c r="B62" i="17"/>
  <c r="F13" i="8"/>
  <c r="F19"/>
  <c r="E62" i="17"/>
  <c r="C8" i="18"/>
  <c r="C13"/>
  <c r="I7"/>
  <c r="I12" s="1"/>
  <c r="D11" i="8"/>
  <c r="E18" i="18"/>
  <c r="D18"/>
  <c r="K23" i="7"/>
  <c r="E57" i="10"/>
  <c r="K14" i="7"/>
  <c r="L14"/>
  <c r="M14"/>
  <c r="I14"/>
  <c r="J14"/>
  <c r="E14"/>
  <c r="F14"/>
  <c r="B14"/>
  <c r="D14"/>
  <c r="C14"/>
  <c r="C6" i="18"/>
  <c r="D32" i="15"/>
  <c r="C23" i="18"/>
  <c r="C5" i="17"/>
  <c r="E50" i="10"/>
  <c r="F17" i="11" s="1"/>
  <c r="C22" i="18"/>
  <c r="C12"/>
  <c r="C62" i="17"/>
  <c r="C21" i="18"/>
  <c r="C17" i="39"/>
  <c r="C73" i="2"/>
  <c r="C56" i="14"/>
  <c r="E11" i="8"/>
  <c r="F12"/>
  <c r="D13"/>
  <c r="E15"/>
  <c r="E61" i="10"/>
  <c r="F19" i="11" s="1"/>
  <c r="B59" i="2"/>
  <c r="G16" i="14"/>
  <c r="C32"/>
  <c r="C34" s="1"/>
  <c r="C39" s="1"/>
  <c r="C44" s="1"/>
  <c r="C16"/>
  <c r="C23" i="39"/>
  <c r="C21"/>
  <c r="C82" i="2" l="1"/>
  <c r="C84" s="1"/>
  <c r="P45"/>
  <c r="P51"/>
  <c r="C17" i="18"/>
  <c r="C72" i="2" s="1"/>
  <c r="C74" s="1"/>
  <c r="B16" i="3"/>
  <c r="B17"/>
  <c r="C11" i="14"/>
  <c r="C18"/>
  <c r="C22" s="1"/>
  <c r="C27" s="1"/>
  <c r="C48" s="1"/>
  <c r="E6" i="7"/>
  <c r="C10"/>
  <c r="E9"/>
  <c r="L6"/>
  <c r="M6" s="1"/>
  <c r="J10"/>
  <c r="C83" i="2"/>
  <c r="L20" i="7"/>
  <c r="L23"/>
  <c r="M23" s="1"/>
  <c r="I24" s="1"/>
  <c r="J24"/>
  <c r="F9"/>
  <c r="B10" s="1"/>
  <c r="C57" i="10"/>
  <c r="G7" i="14"/>
  <c r="E73" i="10"/>
  <c r="F20" i="8"/>
  <c r="F15"/>
  <c r="F7"/>
  <c r="E7"/>
  <c r="E17"/>
  <c r="F14"/>
  <c r="C73" i="10"/>
  <c r="E16" i="14"/>
  <c r="D9" i="8"/>
  <c r="D21" s="1"/>
  <c r="C63" i="10" s="1"/>
  <c r="C65" s="1"/>
  <c r="D20" i="11" s="1"/>
  <c r="G80" i="2"/>
  <c r="L80"/>
  <c r="N80"/>
  <c r="I80"/>
  <c r="E80"/>
  <c r="C48" i="10"/>
  <c r="C50" s="1"/>
  <c r="E7" i="14"/>
  <c r="C24" i="10"/>
  <c r="D15" i="11" s="1"/>
  <c r="K9" i="7"/>
  <c r="L9" s="1"/>
  <c r="M9" s="1"/>
  <c r="I10" s="1"/>
  <c r="F80" i="2"/>
  <c r="K80"/>
  <c r="M80"/>
  <c r="O80"/>
  <c r="H80"/>
  <c r="D80"/>
  <c r="O11" i="40"/>
  <c r="E16" s="1"/>
  <c r="E17" s="1"/>
  <c r="M11"/>
  <c r="E19"/>
  <c r="E15"/>
  <c r="F21" i="8" l="1"/>
  <c r="E63" i="10" s="1"/>
  <c r="E65" s="1"/>
  <c r="F20" i="11" s="1"/>
  <c r="E11" i="32" s="1"/>
  <c r="C11"/>
  <c r="B27" i="3"/>
  <c r="D17" i="11"/>
  <c r="B21" i="3" s="1"/>
  <c r="B57" i="2"/>
  <c r="B70"/>
  <c r="D26" i="11"/>
  <c r="B61" i="2"/>
  <c r="C61" i="10"/>
  <c r="D19" i="11" s="1"/>
  <c r="B22" i="3" s="1"/>
  <c r="K10" i="7"/>
  <c r="K24"/>
  <c r="C11"/>
  <c r="E18" i="14"/>
  <c r="E22" s="1"/>
  <c r="E27" s="1"/>
  <c r="E48" s="1"/>
  <c r="E11"/>
  <c r="E46" s="1"/>
  <c r="G11"/>
  <c r="G46" s="1"/>
  <c r="G18"/>
  <c r="G22" s="1"/>
  <c r="G27" s="1"/>
  <c r="G48" s="1"/>
  <c r="D10" i="7"/>
  <c r="E10" s="1"/>
  <c r="F10" s="1"/>
  <c r="B11" s="1"/>
  <c r="J25"/>
  <c r="L24"/>
  <c r="M24" s="1"/>
  <c r="I25" s="1"/>
  <c r="B69" i="2"/>
  <c r="M20" i="7"/>
  <c r="J11"/>
  <c r="L10"/>
  <c r="M10" s="1"/>
  <c r="I11" s="1"/>
  <c r="B67" i="2"/>
  <c r="F6" i="7"/>
  <c r="C54" i="14"/>
  <c r="C58" s="1"/>
  <c r="C46"/>
  <c r="C50" s="1"/>
  <c r="B18" i="3"/>
  <c r="B19" s="1"/>
  <c r="F22" i="11"/>
  <c r="F23" s="1"/>
  <c r="E21" i="8"/>
  <c r="D63" i="10" s="1"/>
  <c r="E50" i="14" l="1"/>
  <c r="D22" i="11"/>
  <c r="D23" s="1"/>
  <c r="K25" i="7"/>
  <c r="L25" s="1"/>
  <c r="M25" s="1"/>
  <c r="I26" s="1"/>
  <c r="K11"/>
  <c r="D11"/>
  <c r="D65" i="10"/>
  <c r="E20" i="11" s="1"/>
  <c r="C24" i="18"/>
  <c r="C25" s="1"/>
  <c r="C26" s="1"/>
  <c r="I13" s="1"/>
  <c r="C24" i="39"/>
  <c r="C25" s="1"/>
  <c r="C26" s="1"/>
  <c r="I13" s="1"/>
  <c r="I19" s="1"/>
  <c r="I26" s="1"/>
  <c r="D67" i="2"/>
  <c r="N67"/>
  <c r="K67"/>
  <c r="L67"/>
  <c r="J67"/>
  <c r="I67"/>
  <c r="H67"/>
  <c r="E67"/>
  <c r="M67"/>
  <c r="F67"/>
  <c r="O67"/>
  <c r="L11" i="7"/>
  <c r="M11" s="1"/>
  <c r="I12" s="1"/>
  <c r="J12"/>
  <c r="O69" i="2"/>
  <c r="G69"/>
  <c r="F69"/>
  <c r="J69"/>
  <c r="I69"/>
  <c r="M69"/>
  <c r="N69"/>
  <c r="L69"/>
  <c r="D69"/>
  <c r="H69"/>
  <c r="E69"/>
  <c r="K69"/>
  <c r="J26" i="7"/>
  <c r="E11"/>
  <c r="F11" s="1"/>
  <c r="B12" s="1"/>
  <c r="C12"/>
  <c r="B23" i="3"/>
  <c r="B29" s="1"/>
  <c r="G50" i="14"/>
  <c r="P69" i="2" l="1"/>
  <c r="P67"/>
  <c r="D12" i="7"/>
  <c r="K12"/>
  <c r="K26"/>
  <c r="C13"/>
  <c r="E12"/>
  <c r="F12" s="1"/>
  <c r="B13" s="1"/>
  <c r="L12"/>
  <c r="M12" s="1"/>
  <c r="I13" s="1"/>
  <c r="J13"/>
  <c r="J12" i="39"/>
  <c r="J14"/>
  <c r="J13" s="1"/>
  <c r="J27" i="7"/>
  <c r="L26"/>
  <c r="M26" s="1"/>
  <c r="I27" s="1"/>
  <c r="C20"/>
  <c r="C15" i="2"/>
  <c r="C75" s="1"/>
  <c r="I19" i="18"/>
  <c r="I26" s="1"/>
  <c r="D11" i="32"/>
  <c r="E22" i="11"/>
  <c r="E23" s="1"/>
  <c r="C76" i="2" l="1"/>
  <c r="D15"/>
  <c r="K27" i="7"/>
  <c r="L27" s="1"/>
  <c r="M27" s="1"/>
  <c r="D13"/>
  <c r="K13"/>
  <c r="L13" s="1"/>
  <c r="M13" s="1"/>
  <c r="J14" i="18"/>
  <c r="J13" s="1"/>
  <c r="J12"/>
  <c r="D20" i="7"/>
  <c r="C23" s="1"/>
  <c r="B23"/>
  <c r="E13"/>
  <c r="F13" s="1"/>
  <c r="D18" i="2" l="1"/>
  <c r="C24" i="7"/>
  <c r="E20"/>
  <c r="D23"/>
  <c r="C72" i="10" s="1"/>
  <c r="D81" i="2" l="1"/>
  <c r="D82" s="1"/>
  <c r="D83" s="1"/>
  <c r="D84" s="1"/>
  <c r="D85" s="1"/>
  <c r="B68"/>
  <c r="F20" i="7"/>
  <c r="C25"/>
  <c r="D25" i="11"/>
  <c r="C74" i="10"/>
  <c r="C78" s="1"/>
  <c r="C3" i="22" s="1"/>
  <c r="E23" i="7"/>
  <c r="C5" i="22" l="1"/>
  <c r="C17" i="32"/>
  <c r="F23" i="7"/>
  <c r="B24" s="1"/>
  <c r="C26"/>
  <c r="O68" i="2"/>
  <c r="H68"/>
  <c r="K68"/>
  <c r="D68"/>
  <c r="L68"/>
  <c r="F68"/>
  <c r="E68"/>
  <c r="I68"/>
  <c r="N68"/>
  <c r="G68"/>
  <c r="M68"/>
  <c r="J68"/>
  <c r="B31" i="3"/>
  <c r="B32" s="1"/>
  <c r="B37" s="1"/>
  <c r="D31" i="11"/>
  <c r="D34" s="1"/>
  <c r="C9" i="32" s="1"/>
  <c r="C14" s="1"/>
  <c r="C7" i="22"/>
  <c r="C11" s="1"/>
  <c r="D74" i="2" l="1"/>
  <c r="P68"/>
  <c r="E15"/>
  <c r="C19" i="32"/>
  <c r="A25"/>
  <c r="C27" i="7"/>
  <c r="D24"/>
  <c r="H4" i="11"/>
  <c r="C16" i="22"/>
  <c r="C24" s="1"/>
  <c r="D75" i="2" l="1"/>
  <c r="D76" s="1"/>
  <c r="E18"/>
  <c r="D72" i="10"/>
  <c r="E24" i="7"/>
  <c r="E81" i="2" l="1"/>
  <c r="E82" s="1"/>
  <c r="E83" s="1"/>
  <c r="E84" s="1"/>
  <c r="E85" s="1"/>
  <c r="E74" s="1"/>
  <c r="E25" i="11"/>
  <c r="E31" s="1"/>
  <c r="E34" s="1"/>
  <c r="D9" i="32" s="1"/>
  <c r="D14" s="1"/>
  <c r="D74" i="10"/>
  <c r="D78" s="1"/>
  <c r="E3" i="22" s="1"/>
  <c r="E7" s="1"/>
  <c r="E11" s="1"/>
  <c r="I4" i="11" s="1"/>
  <c r="E5" i="22"/>
  <c r="D17" i="32"/>
  <c r="F24" i="7"/>
  <c r="B25" s="1"/>
  <c r="E75" i="2" l="1"/>
  <c r="H15"/>
  <c r="D19" i="32"/>
  <c r="D25" i="7"/>
  <c r="F15" i="2" l="1"/>
  <c r="F18" s="1"/>
  <c r="F74" s="1"/>
  <c r="E76"/>
  <c r="H18"/>
  <c r="H81" s="1"/>
  <c r="H82" s="1"/>
  <c r="E72" i="10"/>
  <c r="E25" i="7"/>
  <c r="H74" i="2" l="1"/>
  <c r="H75" s="1"/>
  <c r="F81"/>
  <c r="F82" s="1"/>
  <c r="F83" s="1"/>
  <c r="F84" s="1"/>
  <c r="F85" s="1"/>
  <c r="I15"/>
  <c r="E74" i="10"/>
  <c r="F25" i="11"/>
  <c r="F31" s="1"/>
  <c r="F34" s="1"/>
  <c r="E9" i="32" s="1"/>
  <c r="E14" s="1"/>
  <c r="E78" i="10"/>
  <c r="G3" i="22" s="1"/>
  <c r="E17" i="32"/>
  <c r="G5" i="22"/>
  <c r="F25" i="7"/>
  <c r="B26" s="1"/>
  <c r="F75" i="2" l="1"/>
  <c r="I18"/>
  <c r="I81" s="1"/>
  <c r="I82" s="1"/>
  <c r="J15"/>
  <c r="J81" s="1"/>
  <c r="J82" s="1"/>
  <c r="G7" i="22"/>
  <c r="G11" s="1"/>
  <c r="J4" i="11" s="1"/>
  <c r="D26" i="7"/>
  <c r="E26" s="1"/>
  <c r="F26" s="1"/>
  <c r="B27" s="1"/>
  <c r="E19" i="32"/>
  <c r="G15" i="2" l="1"/>
  <c r="G18" s="1"/>
  <c r="F76"/>
  <c r="K15"/>
  <c r="K18" s="1"/>
  <c r="K81" s="1"/>
  <c r="K82" s="1"/>
  <c r="D27" i="7"/>
  <c r="E27" s="1"/>
  <c r="F27" s="1"/>
  <c r="G81" i="2" l="1"/>
  <c r="G82" s="1"/>
  <c r="G83" s="1"/>
  <c r="G84" s="1"/>
  <c r="G85" s="1"/>
  <c r="L15"/>
  <c r="L18" s="1"/>
  <c r="G74" l="1"/>
  <c r="H83"/>
  <c r="H84" s="1"/>
  <c r="H85" s="1"/>
  <c r="I83" s="1"/>
  <c r="I84" s="1"/>
  <c r="I85" s="1"/>
  <c r="L81"/>
  <c r="L82" s="1"/>
  <c r="I74" l="1"/>
  <c r="I75" s="1"/>
  <c r="J83"/>
  <c r="J84" s="1"/>
  <c r="J85" s="1"/>
  <c r="G75"/>
  <c r="G76" s="1"/>
  <c r="H76" s="1"/>
  <c r="M15"/>
  <c r="M18" s="1"/>
  <c r="I76" l="1"/>
  <c r="J74"/>
  <c r="J75" s="1"/>
  <c r="K83"/>
  <c r="K84" s="1"/>
  <c r="K85" s="1"/>
  <c r="M81"/>
  <c r="M82" s="1"/>
  <c r="J76" l="1"/>
  <c r="K74"/>
  <c r="K75" s="1"/>
  <c r="L83"/>
  <c r="L84" s="1"/>
  <c r="L85" s="1"/>
  <c r="L74" s="1"/>
  <c r="L75" s="1"/>
  <c r="N15"/>
  <c r="N18" s="1"/>
  <c r="K76" l="1"/>
  <c r="L76" s="1"/>
  <c r="M83"/>
  <c r="M84" s="1"/>
  <c r="M85" s="1"/>
  <c r="M74" s="1"/>
  <c r="M75" s="1"/>
  <c r="M92" s="1"/>
  <c r="N81"/>
  <c r="N82" s="1"/>
  <c r="N83" l="1"/>
  <c r="N84" s="1"/>
  <c r="N85" s="1"/>
  <c r="N74" s="1"/>
  <c r="N75" s="1"/>
  <c r="M76"/>
  <c r="O15"/>
  <c r="N76" l="1"/>
  <c r="O18"/>
  <c r="P15"/>
  <c r="O81" l="1"/>
  <c r="O82" s="1"/>
  <c r="O83" s="1"/>
  <c r="O84" s="1"/>
  <c r="O85" s="1"/>
  <c r="O71" s="1"/>
  <c r="P18"/>
  <c r="O74" l="1"/>
  <c r="P71"/>
  <c r="O75" l="1"/>
  <c r="O76" s="1"/>
  <c r="P74"/>
</calcChain>
</file>

<file path=xl/sharedStrings.xml><?xml version="1.0" encoding="utf-8"?>
<sst xmlns="http://schemas.openxmlformats.org/spreadsheetml/2006/main" count="993" uniqueCount="624">
  <si>
    <t xml:space="preserve"> </t>
  </si>
  <si>
    <t xml:space="preserve">BESOINS (EMPLOIS) </t>
  </si>
  <si>
    <t>ACTIF  IMMOBILISE</t>
  </si>
  <si>
    <t xml:space="preserve">            Fonds de Commerce</t>
  </si>
  <si>
    <t xml:space="preserve">            Droit au Bail</t>
  </si>
  <si>
    <t xml:space="preserve">            Constructions</t>
  </si>
  <si>
    <t xml:space="preserve">            Matériel et Outillage</t>
  </si>
  <si>
    <t xml:space="preserve">            Agencements Installations</t>
  </si>
  <si>
    <t xml:space="preserve">            Matériel de Transport</t>
  </si>
  <si>
    <t xml:space="preserve">            Matériel de Bureau</t>
  </si>
  <si>
    <t xml:space="preserve">            Mobilier</t>
  </si>
  <si>
    <t>Total (I)</t>
  </si>
  <si>
    <t>ACTIF CIRCULANT</t>
  </si>
  <si>
    <t>Total (II)</t>
  </si>
  <si>
    <t xml:space="preserve">TOTAL GENERAL </t>
  </si>
  <si>
    <t>. Constructions :</t>
  </si>
  <si>
    <t>. Matériel et Outillage :</t>
  </si>
  <si>
    <t>. Matériel de bureau :</t>
  </si>
  <si>
    <t>. Mobilier :</t>
  </si>
  <si>
    <t xml:space="preserve">TOTAL </t>
  </si>
  <si>
    <t>NATURE :</t>
  </si>
  <si>
    <t>TRESORERIE DE DEPART</t>
  </si>
  <si>
    <t>TOTAL</t>
  </si>
  <si>
    <t>ESTIMATION DU BESOIN EN FONDS DE ROULEMENT</t>
  </si>
  <si>
    <t>CLIENTS</t>
  </si>
  <si>
    <t>Chiffre d'affaires HT</t>
  </si>
  <si>
    <t>Délai Réglement des Clients (en jours)</t>
  </si>
  <si>
    <t>Crédit moyen Clients</t>
  </si>
  <si>
    <t>FOURNISSEURS</t>
  </si>
  <si>
    <t>% Achats par rapport au CA</t>
  </si>
  <si>
    <t>Achats TTC</t>
  </si>
  <si>
    <t xml:space="preserve"> Délai Réglement des Fournisseurs (en jours)</t>
  </si>
  <si>
    <t>Crédit moyen Fournisseurs</t>
  </si>
  <si>
    <t>STOCK</t>
  </si>
  <si>
    <t>Achats HT</t>
  </si>
  <si>
    <t>Délai Moyen de Stockage (en jours)</t>
  </si>
  <si>
    <t>Stock Moyen</t>
  </si>
  <si>
    <t xml:space="preserve"> ESTIMATION DU BFR</t>
  </si>
  <si>
    <t xml:space="preserve">FINANCEMENTS (RESSOURCES) </t>
  </si>
  <si>
    <t>CAPITAUX PROPRES</t>
  </si>
  <si>
    <t xml:space="preserve">              Capital social ou individuel (Numéraire)</t>
  </si>
  <si>
    <t xml:space="preserve">              Capital social ou individuel (Nature)</t>
  </si>
  <si>
    <t>DETTES A LONG ET MOYEN TERME</t>
  </si>
  <si>
    <t xml:space="preserve">              Comptes Courants Associés</t>
  </si>
  <si>
    <t>DETTES A COURT TERME</t>
  </si>
  <si>
    <t xml:space="preserve">              Crédit fournisseurs</t>
  </si>
  <si>
    <t>Total (III)</t>
  </si>
  <si>
    <t>TOTAL GENERAL (I à III)</t>
  </si>
  <si>
    <t xml:space="preserve">COMPTE DE RESULTAT PREVISIONNEL </t>
  </si>
  <si>
    <t>N</t>
  </si>
  <si>
    <t xml:space="preserve">N + 1 </t>
  </si>
  <si>
    <t>N + 2</t>
  </si>
  <si>
    <t>PRODUITS D'EXPLOITATION</t>
  </si>
  <si>
    <t>CHARGES D'EXPLOITATION.</t>
  </si>
  <si>
    <t>Autres achats</t>
  </si>
  <si>
    <t>Autres services extérieurs</t>
  </si>
  <si>
    <t>Impôts taxes et versements assimilés</t>
  </si>
  <si>
    <t>Salaires et traitements</t>
  </si>
  <si>
    <t>Charges sociales</t>
  </si>
  <si>
    <t>Dotations aux amortissements</t>
  </si>
  <si>
    <t>Autres charges de gestion courante</t>
  </si>
  <si>
    <t>PRODUITS et CHARGES  FINANC. et EXCEPTIONN.</t>
  </si>
  <si>
    <t>Produits financiers</t>
  </si>
  <si>
    <t>Produits exceptionnels</t>
  </si>
  <si>
    <t>Charges exceptionnelles</t>
  </si>
  <si>
    <t>N + 1</t>
  </si>
  <si>
    <t xml:space="preserve">           . Electricité Eau Gaz</t>
  </si>
  <si>
    <t xml:space="preserve">           . Produits d'entretien</t>
  </si>
  <si>
    <t xml:space="preserve">           . Petit outillage</t>
  </si>
  <si>
    <t xml:space="preserve">           . Fournitures de bureau</t>
  </si>
  <si>
    <t xml:space="preserve">           .</t>
  </si>
  <si>
    <t xml:space="preserve">           . </t>
  </si>
  <si>
    <t xml:space="preserve">           . Assurances professionnelles</t>
  </si>
  <si>
    <t xml:space="preserve">           . Documentation</t>
  </si>
  <si>
    <t xml:space="preserve">           . Autres honoraires</t>
  </si>
  <si>
    <t xml:space="preserve">           . Frais de déplacements</t>
  </si>
  <si>
    <t xml:space="preserve">           . Frais de réceptions</t>
  </si>
  <si>
    <t xml:space="preserve">           . Frais postaux</t>
  </si>
  <si>
    <t xml:space="preserve">           . Téléphone, Fax, Internet</t>
  </si>
  <si>
    <t xml:space="preserve">           . Commissions cartes de crédit</t>
  </si>
  <si>
    <t xml:space="preserve">           . Frais et services bancaires</t>
  </si>
  <si>
    <t xml:space="preserve">           . Pourboires et dons</t>
  </si>
  <si>
    <t xml:space="preserve">           . Taxe foncière</t>
  </si>
  <si>
    <t xml:space="preserve">           . Charges sociales des salariés</t>
  </si>
  <si>
    <t xml:space="preserve">           . Cotisations sociales des TNS</t>
  </si>
  <si>
    <t xml:space="preserve">           . Droits SACEM</t>
  </si>
  <si>
    <t xml:space="preserve">           . Redevances (sur franchise, brevets…)</t>
  </si>
  <si>
    <t xml:space="preserve">   TOTAL DES CHARGES FIXES</t>
  </si>
  <si>
    <t>TABLEAU DES AMORTISSEMENTS</t>
  </si>
  <si>
    <t>Investissements</t>
  </si>
  <si>
    <t>Durée "normale" d'utilisation</t>
  </si>
  <si>
    <t>Logiciels</t>
  </si>
  <si>
    <t>Constructions</t>
  </si>
  <si>
    <t>Matériel et Outillage</t>
  </si>
  <si>
    <t>Agenc. Install. Travaux</t>
  </si>
  <si>
    <t>Matériel de Transport</t>
  </si>
  <si>
    <t>Matériel de Bureau</t>
  </si>
  <si>
    <t>Mobilier</t>
  </si>
  <si>
    <t>TAUX</t>
  </si>
  <si>
    <t>EMPRUNT</t>
  </si>
  <si>
    <t>Années</t>
  </si>
  <si>
    <t>Capital</t>
  </si>
  <si>
    <t>Annuité</t>
  </si>
  <si>
    <t>Intérêts</t>
  </si>
  <si>
    <t>initial</t>
  </si>
  <si>
    <t>annuels</t>
  </si>
  <si>
    <t>remboursé</t>
  </si>
  <si>
    <t>restant</t>
  </si>
  <si>
    <t>+</t>
  </si>
  <si>
    <t>=</t>
  </si>
  <si>
    <t>-</t>
  </si>
  <si>
    <t>Selon le cas  A, B, C, D, E,</t>
  </si>
  <si>
    <t>Une seule case est à remplir</t>
  </si>
  <si>
    <t>A)</t>
  </si>
  <si>
    <t>Pourcentage des Achats par Rapport au CA ( en HT)</t>
  </si>
  <si>
    <t>(Exemple: les Achats représentent 40% du CA HT)</t>
  </si>
  <si>
    <t>OU</t>
  </si>
  <si>
    <t>B)</t>
  </si>
  <si>
    <t>Coefficient Multiplicateur d'Achats HT à Ventes TTC</t>
  </si>
  <si>
    <t>à 19,6%</t>
  </si>
  <si>
    <t xml:space="preserve">(Exemple :  Coeff  2,5 de HT à TTC) </t>
  </si>
  <si>
    <t>ou</t>
  </si>
  <si>
    <t>à  5,5%</t>
  </si>
  <si>
    <t>C)</t>
  </si>
  <si>
    <t>Coefficient Multiplicateur d'Achats HT à Ventes HT</t>
  </si>
  <si>
    <t xml:space="preserve">(Exemple :  Coeff  3,5 de HT à HT) </t>
  </si>
  <si>
    <t>D)</t>
  </si>
  <si>
    <t>Taux de Marge sur Prix de Vente TTC</t>
  </si>
  <si>
    <t>(Exemple : 30% sur PV TTC)</t>
  </si>
  <si>
    <t>E)</t>
  </si>
  <si>
    <t>Taux de Marge sur Prix de Vente HT</t>
  </si>
  <si>
    <t>(Exemple : 40% sur PV HT)</t>
  </si>
  <si>
    <t>ENTREES</t>
  </si>
  <si>
    <t>TOTAL RENTREES</t>
  </si>
  <si>
    <t>SORTIES</t>
  </si>
  <si>
    <t>TOTAL SORTIES</t>
  </si>
  <si>
    <t>SOLDES CUMULES</t>
  </si>
  <si>
    <t>CA MINIMUM (Hors Taxes)</t>
  </si>
  <si>
    <t>SOLDES INTERMEDIAIRES DE GESTION</t>
  </si>
  <si>
    <t>RUBRIQUES</t>
  </si>
  <si>
    <t xml:space="preserve">Du ......  au ......     </t>
  </si>
  <si>
    <t>Montant</t>
  </si>
  <si>
    <t>% CA</t>
  </si>
  <si>
    <t>CHIFFRE D'AFFAIRES</t>
  </si>
  <si>
    <t>1 Ventes de marchandises</t>
  </si>
  <si>
    <t>2 - Coût achat des marchandises vendues</t>
  </si>
  <si>
    <t>4 Production vendue</t>
  </si>
  <si>
    <t>5 Production stockée ou destockage</t>
  </si>
  <si>
    <t>6 Production immobilisée</t>
  </si>
  <si>
    <t>8 - Matières premières &amp; approv. consom.</t>
  </si>
  <si>
    <t>9 - Sous-traitance directe</t>
  </si>
  <si>
    <t>12 - Autres achats + charges externes</t>
  </si>
  <si>
    <t>14 + Subvention d'exploitation</t>
  </si>
  <si>
    <t>15 - Impôts et taxes</t>
  </si>
  <si>
    <t>16 - Charges de personnel (A)  (B)</t>
  </si>
  <si>
    <t>18 + Produits de gestion courante</t>
  </si>
  <si>
    <t>19 - Charges de gestion courante</t>
  </si>
  <si>
    <t>20 + Reprises sur amort. &amp; provision (C)</t>
  </si>
  <si>
    <t>21 - Dotations aux amortissements</t>
  </si>
  <si>
    <t>22 - Dotations aux provisisons</t>
  </si>
  <si>
    <t>24 + Produits financiers (D)</t>
  </si>
  <si>
    <t>25 - Charges financières (E)</t>
  </si>
  <si>
    <t>27 + Produits exceptionnels (D)</t>
  </si>
  <si>
    <t>28 - Charges exceptionelles (E)</t>
  </si>
  <si>
    <t>30 - Impôts / bénéfices et participation</t>
  </si>
  <si>
    <t>(A)  Montant des charges sociales exploitant</t>
  </si>
  <si>
    <t>(B)  Y compris la rémunération exploitant</t>
  </si>
  <si>
    <t>(C)  Y compris transfert de charges</t>
  </si>
  <si>
    <t>(D)  Dont opérations en capital</t>
  </si>
  <si>
    <t>(E)  Dont opérations en capital</t>
  </si>
  <si>
    <t>Ventes de Marchandises</t>
  </si>
  <si>
    <t>Services extérieurs</t>
  </si>
  <si>
    <t xml:space="preserve">           . Loyer et charges des Locaux</t>
  </si>
  <si>
    <t xml:space="preserve">           . Cotisations diverses (syndicat profess...)</t>
  </si>
  <si>
    <t xml:space="preserve">           . Intérets des emprunts (Long et Moyen Terme)</t>
  </si>
  <si>
    <t xml:space="preserve">           . Taxe d'apprentissage (sur Salaires)</t>
  </si>
  <si>
    <t>PAR AN</t>
  </si>
  <si>
    <t>PAR MOIS</t>
  </si>
  <si>
    <t>REMBOURST</t>
  </si>
  <si>
    <t>MONTANT</t>
  </si>
  <si>
    <t>NOMBRE</t>
  </si>
  <si>
    <t>D'ANNEES</t>
  </si>
  <si>
    <t>DONT ASSUR</t>
  </si>
  <si>
    <t>Marge brute à réaliser</t>
  </si>
  <si>
    <t>Résultat Courant avant Impôt</t>
  </si>
  <si>
    <t>A acheter</t>
  </si>
  <si>
    <t xml:space="preserve">           . Amortissements des investissements</t>
  </si>
  <si>
    <t xml:space="preserve">    Total des charges fixes       </t>
  </si>
  <si>
    <t>CHIFFRE D'AFFAIRES MINIMUM A REALISER</t>
  </si>
  <si>
    <t xml:space="preserve">            Concessions, logiciels, brevets</t>
  </si>
  <si>
    <t xml:space="preserve">            Dépôts de Garantie, Cautions</t>
  </si>
  <si>
    <t>TVA</t>
  </si>
  <si>
    <t xml:space="preserve">           . Formation Professionnelle (sur Salaires)</t>
  </si>
  <si>
    <t xml:space="preserve">           . Honoraires Expert-Comptable</t>
  </si>
  <si>
    <t>Coût d'achat HT</t>
  </si>
  <si>
    <t>Partie capital des emprunts à rembourser</t>
  </si>
  <si>
    <t>Electricité Eau Gaz</t>
  </si>
  <si>
    <t>Produits d'entretien</t>
  </si>
  <si>
    <t>Fournitures de bureau</t>
  </si>
  <si>
    <t>Assurances professionnelles</t>
  </si>
  <si>
    <t>Documentation</t>
  </si>
  <si>
    <t>Personnel intérimaire</t>
  </si>
  <si>
    <t>Honoraires Expert-Comptable</t>
  </si>
  <si>
    <t>Autres honoraires</t>
  </si>
  <si>
    <t>Frais de déplacements</t>
  </si>
  <si>
    <t>Frais de réceptions</t>
  </si>
  <si>
    <t>Frais postaux</t>
  </si>
  <si>
    <t>Téléphone, Fax, Internet</t>
  </si>
  <si>
    <t>Frais et services bancaires</t>
  </si>
  <si>
    <t>Pourboires et dons</t>
  </si>
  <si>
    <t>TRESORERIE : BUDGET PREVISIONNEL     1ère ANNEE  TTC</t>
  </si>
  <si>
    <t>Impots et Taxes  (Sauf T.V.A.)</t>
  </si>
  <si>
    <t>Cotisations sociales salariés</t>
  </si>
  <si>
    <t>Salaires du Personnel (nets)</t>
  </si>
  <si>
    <t>Salaire Dirigeant (ou Remun TNS)</t>
  </si>
  <si>
    <t>Agios et Frais Bancaires</t>
  </si>
  <si>
    <t>TVA à Payer</t>
  </si>
  <si>
    <t>Investissements TTC</t>
  </si>
  <si>
    <t>Stocks TTC</t>
  </si>
  <si>
    <r>
      <t xml:space="preserve">3 </t>
    </r>
    <r>
      <rPr>
        <b/>
        <sz val="10"/>
        <rFont val="Comic Sans MS"/>
        <family val="4"/>
      </rPr>
      <t>MARGE COMMERCIALE ( 1 - 2 )</t>
    </r>
  </si>
  <si>
    <r>
      <t>7</t>
    </r>
    <r>
      <rPr>
        <b/>
        <sz val="10"/>
        <rFont val="Comic Sans MS"/>
        <family val="4"/>
      </rPr>
      <t xml:space="preserve"> PRODUCTION EXERCICE (4 + 5 + 6)</t>
    </r>
  </si>
  <si>
    <r>
      <t>10</t>
    </r>
    <r>
      <rPr>
        <b/>
        <sz val="10"/>
        <rFont val="Comic Sans MS"/>
        <family val="4"/>
      </rPr>
      <t xml:space="preserve"> MARGE PRODUCTION (7 - (8+9))</t>
    </r>
  </si>
  <si>
    <r>
      <t>11</t>
    </r>
    <r>
      <rPr>
        <b/>
        <sz val="10"/>
        <rFont val="Comic Sans MS"/>
        <family val="4"/>
      </rPr>
      <t xml:space="preserve"> MARGE BRUTE GLOBALE (3 + 10)</t>
    </r>
  </si>
  <si>
    <r>
      <t xml:space="preserve">13 </t>
    </r>
    <r>
      <rPr>
        <b/>
        <sz val="10"/>
        <rFont val="Comic Sans MS"/>
        <family val="4"/>
      </rPr>
      <t>VALEUR AJOUTEE (3 + 10 -12)</t>
    </r>
  </si>
  <si>
    <r>
      <t>17</t>
    </r>
    <r>
      <rPr>
        <b/>
        <sz val="10"/>
        <rFont val="Comic Sans MS"/>
        <family val="4"/>
      </rPr>
      <t xml:space="preserve"> EXCEDENT OU INSUFFISANCE BRUT(E) D'EXPLOITATION (13+14+15+16)</t>
    </r>
  </si>
  <si>
    <r>
      <t>23</t>
    </r>
    <r>
      <rPr>
        <b/>
        <sz val="10"/>
        <rFont val="Comic Sans MS"/>
        <family val="4"/>
      </rPr>
      <t xml:space="preserve"> RESULTAT D'EXPLOITATION (17+18-19+20-21-22)</t>
    </r>
  </si>
  <si>
    <r>
      <t>26</t>
    </r>
    <r>
      <rPr>
        <b/>
        <sz val="10"/>
        <rFont val="Comic Sans MS"/>
        <family val="4"/>
      </rPr>
      <t xml:space="preserve"> RESULTAT COURANT (23+24-25)</t>
    </r>
  </si>
  <si>
    <r>
      <t>29</t>
    </r>
    <r>
      <rPr>
        <b/>
        <sz val="10"/>
        <rFont val="Comic Sans MS"/>
        <family val="4"/>
      </rPr>
      <t xml:space="preserve"> RESULTAT EXCEPTIONNEL (27-28)</t>
    </r>
  </si>
  <si>
    <r>
      <t>31</t>
    </r>
    <r>
      <rPr>
        <b/>
        <sz val="10"/>
        <rFont val="Comic Sans MS"/>
        <family val="4"/>
      </rPr>
      <t xml:space="preserve"> RESULTAT NET (26+29 -30)</t>
    </r>
  </si>
  <si>
    <t xml:space="preserve">           . Rémunération du Dirigeant TNS</t>
  </si>
  <si>
    <t xml:space="preserve">           . Rémunération du Dirigeant Salarié</t>
  </si>
  <si>
    <t xml:space="preserve">           . Personnel salarié</t>
  </si>
  <si>
    <t>Publicité, communication</t>
  </si>
  <si>
    <t>Cotisations diverses</t>
  </si>
  <si>
    <t xml:space="preserve">             TVA sur stocks </t>
  </si>
  <si>
    <t xml:space="preserve">             TVA sur investissements</t>
  </si>
  <si>
    <t>( A UN AN )</t>
  </si>
  <si>
    <t>Chiffre d'Affaires TTC</t>
  </si>
  <si>
    <t>(CA TTC divisé par 365 et multiplié par délai clients)</t>
  </si>
  <si>
    <t>(CA TTC multiplié par le % des Achats)</t>
  </si>
  <si>
    <t>EVALUATION DES CREANCES CLIENTS</t>
  </si>
  <si>
    <t>EVALUATION DU CREDIT FOURNISSEURS</t>
  </si>
  <si>
    <t>CHIFFRAGE DU STOCK</t>
  </si>
  <si>
    <t>(Achats TTC divisé par 365 et multiplié par le délai)</t>
  </si>
  <si>
    <t>(CA HT multiplié par le % des Achats)</t>
  </si>
  <si>
    <t>(Achats HT divisé par 365 et multiplié par le délai)</t>
  </si>
  <si>
    <t xml:space="preserve">              Autres Emprunts (PCE….)</t>
  </si>
  <si>
    <t>1er Jour</t>
  </si>
  <si>
    <t>1er JOUR</t>
  </si>
  <si>
    <t>CA TTC</t>
  </si>
  <si>
    <t>TVA Collectée</t>
  </si>
  <si>
    <t>TVA Déductible</t>
  </si>
  <si>
    <t>Biens Services TTC</t>
  </si>
  <si>
    <t>TVA Due</t>
  </si>
  <si>
    <t>SOLDES MENSUELS</t>
  </si>
  <si>
    <t>TVA à Déduire</t>
  </si>
  <si>
    <t xml:space="preserve">                       Ratio Apports / Ressources</t>
  </si>
  <si>
    <t>CHARGES VARIABLES</t>
  </si>
  <si>
    <t>CHIFFRE D'AFFAIRES TOTAL</t>
  </si>
  <si>
    <t>TOTAL CHARGES VARIABLES</t>
  </si>
  <si>
    <t>MARGE BRUTE</t>
  </si>
  <si>
    <t>TAUX PONDERE DE MARGE BRUTE</t>
  </si>
  <si>
    <t>Chiffre d'Affaires Total</t>
  </si>
  <si>
    <t>INDIQUER LE TAUX  DE  MARGE</t>
  </si>
  <si>
    <t xml:space="preserve"> COMPLEMENT DE BFR A PREVOIR</t>
  </si>
  <si>
    <t>CLIENTS - FOURNISSEURS</t>
  </si>
  <si>
    <t>COMPLEMENT BFR</t>
  </si>
  <si>
    <t>COEFFICIENTS MULTIPLICATEURS ET TAUX DE MARGE</t>
  </si>
  <si>
    <t>Taux de</t>
  </si>
  <si>
    <t>MARGE</t>
  </si>
  <si>
    <t>Nombre Semaines…</t>
  </si>
  <si>
    <t>Nombre de Jours…</t>
  </si>
  <si>
    <t>Panier Moyen…</t>
  </si>
  <si>
    <t>CALCUL DES INTERETS DES EMPRUNTS</t>
  </si>
  <si>
    <t xml:space="preserve">              Prêt d'Honneur PFIL</t>
  </si>
  <si>
    <t xml:space="preserve">              Emprunt Bancaire</t>
  </si>
  <si>
    <t>……</t>
  </si>
  <si>
    <t xml:space="preserve">     CALCUL DE LA CAPACITE D'AUTOFINANCEMENT "CAF"</t>
  </si>
  <si>
    <t>Résultat Net après Impôt</t>
  </si>
  <si>
    <t>CAF</t>
  </si>
  <si>
    <t>RESULTAT NET</t>
  </si>
  <si>
    <t>RESULTAT D'EXPLOITATION</t>
  </si>
  <si>
    <t>Total Charges (Fixes et Variables)</t>
  </si>
  <si>
    <t>Total Produits d'Exploitation</t>
  </si>
  <si>
    <t>Intérêts des Emprunts</t>
  </si>
  <si>
    <t>Agios</t>
  </si>
  <si>
    <t>ANNUITE(s) D'EMPRUNTS</t>
  </si>
  <si>
    <t xml:space="preserve">        AUTRES ACHATS</t>
  </si>
  <si>
    <t xml:space="preserve">        SERVICES EXTERIEURS</t>
  </si>
  <si>
    <t xml:space="preserve">        AUTRES SERVICES EXTERIEURS</t>
  </si>
  <si>
    <t xml:space="preserve">        IMPOTS ET TAXES (sauf TVA)</t>
  </si>
  <si>
    <t xml:space="preserve">        SALAIRES ET TRAITEMENTS</t>
  </si>
  <si>
    <t xml:space="preserve">        CHARGES SOCIALES</t>
  </si>
  <si>
    <t xml:space="preserve">        AMORTISSEMENTS</t>
  </si>
  <si>
    <t xml:space="preserve">        AUTRES CHARGES DE GESTION</t>
  </si>
  <si>
    <t xml:space="preserve">        CHARGES FINANCIERES</t>
  </si>
  <si>
    <t xml:space="preserve">        CHARGES EXCEPTIONNELLES</t>
  </si>
  <si>
    <t>Taux de Marge Brute</t>
  </si>
  <si>
    <t>Ceci est un exemple…</t>
  </si>
  <si>
    <t xml:space="preserve">               CORRELATION AVEC L'ETUDE DE MARCHE</t>
  </si>
  <si>
    <t>D'où Nombre de Clients par Jour…</t>
  </si>
  <si>
    <t>TTC</t>
  </si>
  <si>
    <t xml:space="preserve"> Ventes au comptant TTC</t>
  </si>
  <si>
    <t>Droits   =</t>
  </si>
  <si>
    <t xml:space="preserve">Impôt sur les bénéfices  IS   </t>
  </si>
  <si>
    <t>Calcul des Cotisations TNS</t>
  </si>
  <si>
    <t>N+1</t>
  </si>
  <si>
    <t>N+2</t>
  </si>
  <si>
    <t xml:space="preserve">Bénéfice de l'entreprise ou </t>
  </si>
  <si>
    <t>Rémunération du Gérant majoritaire de la Société :</t>
  </si>
  <si>
    <t>Cotisations :</t>
  </si>
  <si>
    <t xml:space="preserve">          CALCUL DE LA MASSE SALARIALE</t>
  </si>
  <si>
    <t>Salaire brut</t>
  </si>
  <si>
    <t>Mensuel</t>
  </si>
  <si>
    <t>Nombre</t>
  </si>
  <si>
    <t>de Mois</t>
  </si>
  <si>
    <t>Salaire Brut</t>
  </si>
  <si>
    <t>Annuel</t>
  </si>
  <si>
    <t>SALAIRES ANNUELS</t>
  </si>
  <si>
    <t>Nature des Fonctions des Salariés</t>
  </si>
  <si>
    <t>DE MOIS</t>
  </si>
  <si>
    <t>FINANCE</t>
  </si>
  <si>
    <t>AGIOS</t>
  </si>
  <si>
    <t xml:space="preserve">           . Agios bancaires (Escomptes, Facilités…)</t>
  </si>
  <si>
    <t>RAPPELS</t>
  </si>
  <si>
    <t>Rembourst  PFIL mensuel</t>
  </si>
  <si>
    <t>Rembourst  Banque mensuel</t>
  </si>
  <si>
    <t>Rembourst  PCE mensuel</t>
  </si>
  <si>
    <t>Dont apports des autres associés :</t>
  </si>
  <si>
    <t xml:space="preserve">  A complèter </t>
  </si>
  <si>
    <t>à adapter en fonction des besoins…</t>
  </si>
  <si>
    <t>ANNEE N</t>
  </si>
  <si>
    <t>ANNEE N + 1</t>
  </si>
  <si>
    <t>ANNEE N + 2</t>
  </si>
  <si>
    <t>Montant HT des Loyers Crédit Bail</t>
  </si>
  <si>
    <t xml:space="preserve">La valeur de rachat est de 1% à la fin </t>
  </si>
  <si>
    <t xml:space="preserve">           . Mutuelles (Loi Madelin…)</t>
  </si>
  <si>
    <t xml:space="preserve">           . Médecine du Travail</t>
  </si>
  <si>
    <t xml:space="preserve">             Stock de matières premières</t>
  </si>
  <si>
    <t xml:space="preserve">             Stock de matières marchandises</t>
  </si>
  <si>
    <t>du contrat.</t>
  </si>
  <si>
    <t xml:space="preserve">             Besoin de trésorerie de départ</t>
  </si>
  <si>
    <t xml:space="preserve">             BFR à un an</t>
  </si>
  <si>
    <t>Clientèle ou Droit au Bail et Pas de Porte.</t>
  </si>
  <si>
    <r>
      <t xml:space="preserve">Calcul automatique des </t>
    </r>
    <r>
      <rPr>
        <b/>
        <u/>
        <sz val="12"/>
        <rFont val="Comic Sans MS"/>
        <family val="4"/>
      </rPr>
      <t>Droits de Mutation</t>
    </r>
    <r>
      <rPr>
        <b/>
        <sz val="12"/>
        <rFont val="Comic Sans MS"/>
        <family val="4"/>
      </rPr>
      <t xml:space="preserve"> sur Fonds,</t>
    </r>
  </si>
  <si>
    <t>Total</t>
  </si>
  <si>
    <t>Logiciels  N+1</t>
  </si>
  <si>
    <t>Matériel et Outillage  N+1</t>
  </si>
  <si>
    <t>Agenc. Install. Travaux  N+1</t>
  </si>
  <si>
    <t>Matériel de Transport  N+1</t>
  </si>
  <si>
    <t>Matériel de Bureau  N+1</t>
  </si>
  <si>
    <t>Mobilier  N+1</t>
  </si>
  <si>
    <t>( en % du CA )</t>
  </si>
  <si>
    <t xml:space="preserve"> Emprunts MT et CT</t>
  </si>
  <si>
    <t>ANALYSE DE BILANS</t>
  </si>
  <si>
    <t>Ventes de Biens</t>
  </si>
  <si>
    <t>Ventes de Services</t>
  </si>
  <si>
    <t>Achats de Marchandises</t>
  </si>
  <si>
    <t>Achats de Matières Premières</t>
  </si>
  <si>
    <t xml:space="preserve">     Chiffre d'affaires net</t>
  </si>
  <si>
    <t xml:space="preserve">     Achats Consommés </t>
  </si>
  <si>
    <t>Marge Brute</t>
  </si>
  <si>
    <t>Marge Commerciale (Marchandises)</t>
  </si>
  <si>
    <t>Taux de Marge Commerciale</t>
  </si>
  <si>
    <t>Marge de Production (Produits &amp; Services)</t>
  </si>
  <si>
    <t>Taux de Marge de Production</t>
  </si>
  <si>
    <t>Total des Charges d'Exploitation</t>
  </si>
  <si>
    <t>Resultat Courant avant Impôts</t>
  </si>
  <si>
    <t>Stock Matières Premières</t>
  </si>
  <si>
    <t>Stock Marchandises</t>
  </si>
  <si>
    <t xml:space="preserve">     Total Stocks</t>
  </si>
  <si>
    <t>Clients et Comptes Rattachés</t>
  </si>
  <si>
    <t xml:space="preserve">          Rotation des Stocks</t>
  </si>
  <si>
    <t>CA Assujetti à 19,6%</t>
  </si>
  <si>
    <t>CA Assujetti à 5,5%</t>
  </si>
  <si>
    <t>CA exonéré</t>
  </si>
  <si>
    <t xml:space="preserve">     Taux Moyen de TVA</t>
  </si>
  <si>
    <t xml:space="preserve">          Délai moyen de règlement des clients</t>
  </si>
  <si>
    <t>Dettes fournisseurs et comptes rattachés</t>
  </si>
  <si>
    <t xml:space="preserve">          Délai moyen de règlement fournisseurs</t>
  </si>
  <si>
    <t xml:space="preserve">     Taux de Marge Brute</t>
  </si>
  <si>
    <t>en jours</t>
  </si>
  <si>
    <r>
      <t xml:space="preserve">Variation Stock Marchandises </t>
    </r>
    <r>
      <rPr>
        <b/>
        <sz val="10"/>
        <rFont val="Arial"/>
        <family val="2"/>
      </rPr>
      <t>( + ou - )</t>
    </r>
  </si>
  <si>
    <r>
      <t xml:space="preserve">Variation Stocks Matières Premières </t>
    </r>
    <r>
      <rPr>
        <b/>
        <sz val="10"/>
        <rFont val="Arial"/>
        <family val="2"/>
      </rPr>
      <t>( + ou - )</t>
    </r>
  </si>
  <si>
    <t>PLAN DE FINANCEMENT:  EMPLOIS</t>
  </si>
  <si>
    <t>. Concess, logiciels, brevets :</t>
  </si>
  <si>
    <t>. Fonds commerce, Clientèle :</t>
  </si>
  <si>
    <t>. Droit Bail, Pas de Porte :</t>
  </si>
  <si>
    <t>. Mat Transport,Véhicules :</t>
  </si>
  <si>
    <t>. Dépôts Garantie, Cautions :</t>
  </si>
  <si>
    <t>. Agenc.ts Install. Travaux :</t>
  </si>
  <si>
    <t>Possédé</t>
  </si>
  <si>
    <t>PLAN DE FINANCEMENT:  RESSOURCES</t>
  </si>
  <si>
    <t>indiquer le montant de l'IS calculé ci-dessous.</t>
  </si>
  <si>
    <t>Si l'entreprise est une Sarl, Eurl (option IS) ou SA. . .</t>
  </si>
  <si>
    <t>http://www.canam.fr/docs/module.php</t>
  </si>
  <si>
    <t xml:space="preserve">           . Charges exceptionnelles (Contraventions...)</t>
  </si>
  <si>
    <t xml:space="preserve">           . Provisions</t>
  </si>
  <si>
    <t xml:space="preserve">Pour ces charges variables il convient </t>
  </si>
  <si>
    <t>dans la formule d'indiquer à quel élément</t>
  </si>
  <si>
    <t>elles se réfèrent ( CA TOTAL ou CA partiel…)</t>
  </si>
  <si>
    <t>(Le total doit faire 100 naturlich !)</t>
  </si>
  <si>
    <t>en % du CA TOTAL HT</t>
  </si>
  <si>
    <t xml:space="preserve"> Encaissements Clients à 30 Jours</t>
  </si>
  <si>
    <t xml:space="preserve"> Encaissements Clients à 60 Jours</t>
  </si>
  <si>
    <t xml:space="preserve">                                          CALCUL DU TAUX PONDERE DE MARGE BRUTE</t>
  </si>
  <si>
    <t>Taux</t>
  </si>
  <si>
    <t>BFR = (Stock + Clients - Fournisseurs)</t>
  </si>
  <si>
    <t>% du CA Assujetti à 5,5%</t>
  </si>
  <si>
    <t>% du CA Exonéré</t>
  </si>
  <si>
    <t>Taux Moyen de TVA ;</t>
  </si>
  <si>
    <t>Nom du Dossier</t>
  </si>
  <si>
    <t>Il convient généralement que la CAF couvre au moins deux fois les annuités d'emprunts.</t>
  </si>
  <si>
    <t>Si le Véhicule est pris en location LD</t>
  </si>
  <si>
    <t>ou en Crédit Bail, le faire figurer quand même et</t>
  </si>
  <si>
    <t>Si le Matériel est pris en location LD</t>
  </si>
  <si>
    <t>Trésorerie de départ nécessaire au démarrage de l'activité</t>
  </si>
  <si>
    <t xml:space="preserve"> . Petit outillage</t>
  </si>
  <si>
    <t xml:space="preserve"> . Fournitures de Bureau</t>
  </si>
  <si>
    <t xml:space="preserve"> . Premiers Loyers</t>
  </si>
  <si>
    <t xml:space="preserve"> . Assurances</t>
  </si>
  <si>
    <t xml:space="preserve"> . Premiers salaires nets du personnel</t>
  </si>
  <si>
    <t xml:space="preserve"> . Ma rémunération nette</t>
  </si>
  <si>
    <t xml:space="preserve"> . Autres</t>
  </si>
  <si>
    <t xml:space="preserve">            .Vêtements de travail</t>
  </si>
  <si>
    <t xml:space="preserve">            .Carburant</t>
  </si>
  <si>
    <t xml:space="preserve">           . Crédit bail</t>
  </si>
  <si>
    <t xml:space="preserve">           . Entretien des véhicules</t>
  </si>
  <si>
    <t xml:space="preserve">           . Entretien du matériel</t>
  </si>
  <si>
    <t xml:space="preserve">           . Formation</t>
  </si>
  <si>
    <t xml:space="preserve">           . Entretien des locaux (par Sté extérieure)</t>
  </si>
  <si>
    <t xml:space="preserve">           . Personnel intérimaire</t>
  </si>
  <si>
    <t xml:space="preserve">           . Publicité, communication commerciale</t>
  </si>
  <si>
    <t>Pour un contrat de 5 ans, en général,</t>
  </si>
  <si>
    <t xml:space="preserve">                            % du CA :</t>
  </si>
  <si>
    <t>Exemples de charges variables :</t>
  </si>
  <si>
    <t xml:space="preserve">Indiquer le taux de chacune des charges variables </t>
  </si>
  <si>
    <t>Achats matières premières, marchandises, emballages,</t>
  </si>
  <si>
    <t>sous-traitance, intérim…</t>
  </si>
  <si>
    <t>Répartition des Ventes</t>
  </si>
  <si>
    <t>VENTES (par familles)</t>
  </si>
  <si>
    <t>Carburant</t>
  </si>
  <si>
    <t>Vêtements de travail</t>
  </si>
  <si>
    <t>Formation</t>
  </si>
  <si>
    <t>Crédit bail</t>
  </si>
  <si>
    <t>Location Matériels</t>
  </si>
  <si>
    <t>Entretien du matériel</t>
  </si>
  <si>
    <t>Entretien des locaux (par Sté)</t>
  </si>
  <si>
    <t>Autres charges (Sacem…)</t>
  </si>
  <si>
    <t xml:space="preserve">                              MOIS</t>
  </si>
  <si>
    <t>Banque avec PCE</t>
  </si>
  <si>
    <t xml:space="preserve">    Avant modification Case PCE</t>
  </si>
  <si>
    <t>Rappel des CA Minimum à réaliser.</t>
  </si>
  <si>
    <t>DETAIL DES CHARGES FIXES                  Page 1/2</t>
  </si>
  <si>
    <t>DETAIL DES CHARGES FIXES                  Page 2/2</t>
  </si>
  <si>
    <t>TOTAL DES AMORTISSEMENTS</t>
  </si>
  <si>
    <t>Amortiss  Année 1</t>
  </si>
  <si>
    <t>Amortiss  Année 2</t>
  </si>
  <si>
    <t>Amortiss  Année 3</t>
  </si>
  <si>
    <t>Répartition du CA selon les Taux de TVA</t>
  </si>
  <si>
    <t xml:space="preserve">     DETAIL DES INVESTISSEMENTS   Page 1/2</t>
  </si>
  <si>
    <t>Marchand</t>
  </si>
  <si>
    <t>Mat Prem</t>
  </si>
  <si>
    <t>Nombre  (*)</t>
  </si>
  <si>
    <t>(*)  Mois ou fois</t>
  </si>
  <si>
    <t>PCE Envisageable</t>
  </si>
  <si>
    <t>Calcul du Taux moyen de TVA</t>
  </si>
  <si>
    <t>Mensualité = Coût Achat HT    X</t>
  </si>
  <si>
    <t>% variable selon les</t>
  </si>
  <si>
    <t>organismes bancaires</t>
  </si>
  <si>
    <t xml:space="preserve">              Subventions (AGEFIPH, iDéclic…)</t>
  </si>
  <si>
    <t>TVA, Escompte, Facilités caisse, Dailly…</t>
  </si>
  <si>
    <t xml:space="preserve">              Crédits Court Terme</t>
  </si>
  <si>
    <t>coût d'achat théorique  :</t>
  </si>
  <si>
    <t>H T</t>
  </si>
  <si>
    <t xml:space="preserve">           . Location Matériels (mopieur)</t>
  </si>
  <si>
    <t xml:space="preserve"> . Documentation et abonnements</t>
  </si>
  <si>
    <t>EVALUATION DES STOCKS</t>
  </si>
  <si>
    <t>A acheter HT</t>
  </si>
  <si>
    <t>Déjà possédé</t>
  </si>
  <si>
    <t xml:space="preserve">              Acomptes reçus sur commandes Clients</t>
  </si>
  <si>
    <t xml:space="preserve"> . Carburant</t>
  </si>
  <si>
    <t>Charte graphique : identité visuelle</t>
  </si>
  <si>
    <t>Print de départ (carte visite, entête …)</t>
  </si>
  <si>
    <t>Site vitrine</t>
  </si>
  <si>
    <t xml:space="preserve"> . Nom de domaine</t>
  </si>
  <si>
    <t xml:space="preserve">Frais d'établissement : </t>
  </si>
  <si>
    <t>Honoraires consitutions (avocat)</t>
  </si>
  <si>
    <t>Frais de greffe, annonce légale …</t>
  </si>
  <si>
    <t>Frais d'agence</t>
  </si>
  <si>
    <t>Communication et publicité de départ :</t>
  </si>
  <si>
    <t>Prévisionnel</t>
  </si>
  <si>
    <t>Signalétique</t>
  </si>
  <si>
    <t xml:space="preserve"> ……</t>
  </si>
  <si>
    <t xml:space="preserve">              Avance Remboursable Etat NACRE</t>
  </si>
  <si>
    <t>Achats de marchandises, matières premières</t>
  </si>
  <si>
    <t>RATIO CAF / ANNUITES D'EMPRUNTS</t>
  </si>
  <si>
    <t xml:space="preserve"> . Téléphone portable + fixe</t>
  </si>
  <si>
    <t>NOM DOSSIER</t>
  </si>
  <si>
    <t>…</t>
  </si>
  <si>
    <t xml:space="preserve"> …</t>
  </si>
  <si>
    <t>0,5% du chiffre d'affaire</t>
  </si>
  <si>
    <t xml:space="preserve">              Prêt d'Honneur</t>
  </si>
  <si>
    <t xml:space="preserve">           . Contribution Economique Territoriale </t>
  </si>
  <si>
    <t>% du CA Assujetti à 20%</t>
  </si>
  <si>
    <t>% du CA Assujetti à 10%</t>
  </si>
  <si>
    <t>Sous-traitance</t>
  </si>
  <si>
    <t>Taux de tva</t>
  </si>
  <si>
    <t>CHRONO DEVIS 2014</t>
  </si>
  <si>
    <t>N° de devis</t>
  </si>
  <si>
    <t>Date</t>
  </si>
  <si>
    <t>N° Client</t>
  </si>
  <si>
    <t>Client</t>
  </si>
  <si>
    <t>Montant HT</t>
  </si>
  <si>
    <t>Montant TTC</t>
  </si>
  <si>
    <t>Proba
signature</t>
  </si>
  <si>
    <t>Montant 
corrigé HT</t>
  </si>
  <si>
    <t>Commentaires</t>
  </si>
  <si>
    <t>DEV1401-002</t>
  </si>
  <si>
    <t>C014</t>
  </si>
  <si>
    <t>DREFYRF</t>
  </si>
  <si>
    <t>DEV1401-001</t>
  </si>
  <si>
    <t>C002</t>
  </si>
  <si>
    <t>ABECD</t>
  </si>
  <si>
    <t>Signé HT</t>
  </si>
  <si>
    <t>Perdu HT</t>
  </si>
  <si>
    <t>Montant moyen total</t>
  </si>
  <si>
    <t>Montant moyen signé</t>
  </si>
  <si>
    <t>Montant moyen perdu</t>
  </si>
  <si>
    <t>Taille entreprise</t>
  </si>
  <si>
    <t>Secteur activité</t>
  </si>
  <si>
    <t>Références</t>
  </si>
  <si>
    <t>Caractéristiques client</t>
  </si>
  <si>
    <t>Détails devis</t>
  </si>
  <si>
    <t>Temps prévisionnel</t>
  </si>
  <si>
    <t>Ecole/université</t>
  </si>
  <si>
    <t>OPCA</t>
  </si>
  <si>
    <t>Entreprise privée (SARL, SAS, SA …)</t>
  </si>
  <si>
    <t>Collectivité (territoriale, intercommunale …)</t>
  </si>
  <si>
    <t>Association</t>
  </si>
  <si>
    <t>Organisme public (DIRECCTE, Région, Pôle-Emploi …)</t>
  </si>
  <si>
    <t>Entre 1 et 5 salariés</t>
  </si>
  <si>
    <t>Communication/Evenementiel/Marketing</t>
  </si>
  <si>
    <t>Conseil/Audit</t>
  </si>
  <si>
    <t>Design graphique/Animation 3D/Video</t>
  </si>
  <si>
    <t>Equipement</t>
  </si>
  <si>
    <t>Etudes/Ingenierie</t>
  </si>
  <si>
    <t>Industrie</t>
  </si>
  <si>
    <t>NTIC/Informatique</t>
  </si>
  <si>
    <t>Services aux porfessionnels</t>
  </si>
  <si>
    <t>Services aux particuliers</t>
  </si>
  <si>
    <t>Services publics</t>
  </si>
  <si>
    <t>Grand compte (EDF, GDF, AREVA, hopitaux …)</t>
  </si>
  <si>
    <t>CHRONO FACTURE 2014</t>
  </si>
  <si>
    <t>Période réalisation prévi</t>
  </si>
  <si>
    <t>Date règlement prévi</t>
  </si>
  <si>
    <t>C003</t>
  </si>
  <si>
    <t>GGB</t>
  </si>
  <si>
    <t>En attente HT (pondéré)</t>
  </si>
  <si>
    <t>Etat du devis</t>
  </si>
  <si>
    <t>% de probabilité</t>
  </si>
  <si>
    <t>Signé</t>
  </si>
  <si>
    <t>En attente</t>
  </si>
  <si>
    <t>entre 1 et 99%</t>
  </si>
  <si>
    <t>en fonction de la probabilité estimée</t>
  </si>
  <si>
    <t>Refus</t>
  </si>
  <si>
    <t>Légende</t>
  </si>
  <si>
    <t>Date règlement prévue</t>
  </si>
  <si>
    <t>Date règlement réelle</t>
  </si>
  <si>
    <t>Détails FACTURE</t>
  </si>
  <si>
    <t>N° de FACTURE</t>
  </si>
  <si>
    <t>N° de DEVIS</t>
  </si>
  <si>
    <t>Références FACTURE</t>
  </si>
  <si>
    <t>Montant moyen facture</t>
  </si>
  <si>
    <t>Ecart temps prevu/réel</t>
  </si>
  <si>
    <t>Ecart règlement (jours)</t>
  </si>
  <si>
    <t>Délai règlement (jours)</t>
  </si>
  <si>
    <t>²</t>
  </si>
  <si>
    <t>Objet de la prestation</t>
  </si>
  <si>
    <t>Type de prestation</t>
  </si>
  <si>
    <t>Statut de l'entreprise cliente</t>
  </si>
  <si>
    <t>Direct</t>
  </si>
  <si>
    <t>Rang client</t>
  </si>
  <si>
    <t>Dirigeant seul</t>
  </si>
  <si>
    <t>Artisan</t>
  </si>
  <si>
    <t>entre 5 et 20 salariés</t>
  </si>
  <si>
    <t>entre 1 et 5 salariés</t>
  </si>
  <si>
    <t>Entre 20 et 50 salariés</t>
  </si>
  <si>
    <t>Entre 50 et 100 salariés</t>
  </si>
  <si>
    <t>plus de 100 salariés</t>
  </si>
  <si>
    <t>Récurrente web</t>
  </si>
  <si>
    <t>Récurrente print</t>
  </si>
  <si>
    <t>Ponctuelle web</t>
  </si>
  <si>
    <t>Ponctuelle print</t>
  </si>
  <si>
    <t>Création charte graphique print</t>
  </si>
  <si>
    <t>Création charte graphique web</t>
  </si>
  <si>
    <t>Création support print</t>
  </si>
  <si>
    <t>Intégration web</t>
  </si>
  <si>
    <t>Autres création web (mailing …)</t>
  </si>
  <si>
    <t>Création de site</t>
  </si>
  <si>
    <t>Temps réel (en j)</t>
  </si>
  <si>
    <t>Frais resto</t>
  </si>
  <si>
    <t>Retraite</t>
  </si>
  <si>
    <t>Frais de contentieux (greffe)</t>
  </si>
  <si>
    <t>Cpte excédent bancaire</t>
  </si>
  <si>
    <t>Loi Madelin (mutuelle)</t>
  </si>
  <si>
    <t>Loi Madelin (prévoyance)</t>
  </si>
  <si>
    <t>Cotisations sociales TNS (RSI)</t>
  </si>
  <si>
    <t>Charges des Locaux</t>
  </si>
  <si>
    <t>Loyer</t>
  </si>
  <si>
    <t>Courant fin mois</t>
  </si>
  <si>
    <t>Excédent fin mois</t>
  </si>
  <si>
    <t>Solde compte début mois</t>
  </si>
  <si>
    <t>Assurance local</t>
  </si>
  <si>
    <t>Kdo</t>
  </si>
  <si>
    <t>Hébergement + ndd</t>
  </si>
  <si>
    <t>Remboursement frais (créa, km)</t>
  </si>
  <si>
    <t>Achat téléphone, ordinateur</t>
  </si>
  <si>
    <t>Photocopies</t>
  </si>
  <si>
    <t>Remb AGIPI</t>
  </si>
  <si>
    <t>CFE</t>
  </si>
  <si>
    <t>Virement cpte à cpte</t>
  </si>
  <si>
    <t>Outils info (Mailjet)</t>
  </si>
  <si>
    <t>Aout 14</t>
  </si>
</sst>
</file>

<file path=xl/styles.xml><?xml version="1.0" encoding="utf-8"?>
<styleSheet xmlns="http://schemas.openxmlformats.org/spreadsheetml/2006/main">
  <numFmts count="13">
    <numFmt numFmtId="164" formatCode="_-* #,##0.00\ &quot;F&quot;_-;\-* #,##0.00\ &quot;F&quot;_-;_-* &quot;-&quot;??\ &quot;F&quot;_-;_-@_-"/>
    <numFmt numFmtId="165" formatCode="_-* #,##0.00\ _F_-;\-* #,##0.00\ _F_-;_-* &quot;-&quot;??\ _F_-;_-@_-"/>
    <numFmt numFmtId="166" formatCode="_-* #,##0.00\ [$€-1]_-;\-* #,##0.00\ [$€-1]_-;_-* &quot;-&quot;??\ [$€-1]_-"/>
    <numFmt numFmtId="167" formatCode="#,##0\ &quot;F&quot;"/>
    <numFmt numFmtId="168" formatCode="0.0%"/>
    <numFmt numFmtId="169" formatCode="#,##0_ ;[Red]\-#,##0\ "/>
    <numFmt numFmtId="170" formatCode="0.000%"/>
    <numFmt numFmtId="171" formatCode="0.0"/>
    <numFmt numFmtId="172" formatCode="#,##0.00\ &quot;€&quot;"/>
    <numFmt numFmtId="173" formatCode="dd/mm/yy;@"/>
    <numFmt numFmtId="174" formatCode="0_ ;[Red]\-0\ "/>
    <numFmt numFmtId="175" formatCode="0.0_ ;[Red]\-0.0\ "/>
    <numFmt numFmtId="176" formatCode="_-* #,##0.00\ [$€-40C]_-;\-* #,##0.00\ [$€-40C]_-;_-* &quot;-&quot;??\ [$€-40C]_-;_-@_-"/>
  </numFmts>
  <fonts count="61">
    <font>
      <sz val="10"/>
      <name val="Arial"/>
    </font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Arial"/>
    </font>
    <font>
      <sz val="10"/>
      <name val="Comic Sans MS"/>
      <family val="4"/>
    </font>
    <font>
      <b/>
      <sz val="14"/>
      <name val="Comic Sans MS"/>
      <family val="4"/>
    </font>
    <font>
      <sz val="14"/>
      <color indexed="10"/>
      <name val="Comic Sans MS"/>
      <family val="4"/>
    </font>
    <font>
      <sz val="12"/>
      <name val="Comic Sans MS"/>
      <family val="4"/>
    </font>
    <font>
      <b/>
      <sz val="12"/>
      <name val="Comic Sans MS"/>
      <family val="4"/>
    </font>
    <font>
      <sz val="11"/>
      <name val="Comic Sans MS"/>
      <family val="4"/>
    </font>
    <font>
      <b/>
      <sz val="11"/>
      <name val="Comic Sans MS"/>
      <family val="4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i/>
      <sz val="11"/>
      <name val="Comic Sans MS"/>
      <family val="4"/>
    </font>
    <font>
      <b/>
      <sz val="11"/>
      <color indexed="8"/>
      <name val="Comic Sans MS"/>
      <family val="4"/>
    </font>
    <font>
      <sz val="16"/>
      <name val="Comic Sans MS"/>
      <family val="4"/>
    </font>
    <font>
      <b/>
      <sz val="16"/>
      <name val="Comic Sans MS"/>
      <family val="4"/>
    </font>
    <font>
      <b/>
      <sz val="12"/>
      <color indexed="8"/>
      <name val="Comic Sans MS"/>
      <family val="4"/>
    </font>
    <font>
      <b/>
      <sz val="8"/>
      <name val="Comic Sans MS"/>
      <family val="4"/>
    </font>
    <font>
      <sz val="10"/>
      <color indexed="8"/>
      <name val="Comic Sans MS"/>
      <family val="4"/>
    </font>
    <font>
      <sz val="10"/>
      <color indexed="10"/>
      <name val="Comic Sans MS"/>
      <family val="4"/>
    </font>
    <font>
      <b/>
      <sz val="10"/>
      <color indexed="10"/>
      <name val="Comic Sans MS"/>
      <family val="4"/>
    </font>
    <font>
      <b/>
      <sz val="14"/>
      <color indexed="10"/>
      <name val="Comic Sans MS"/>
      <family val="4"/>
    </font>
    <font>
      <sz val="11"/>
      <color indexed="10"/>
      <name val="Comic Sans MS"/>
      <family val="4"/>
    </font>
    <font>
      <sz val="12"/>
      <name val="Arial"/>
    </font>
    <font>
      <b/>
      <sz val="12"/>
      <color indexed="10"/>
      <name val="Comic Sans MS"/>
      <family val="4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</font>
    <font>
      <b/>
      <u/>
      <sz val="12"/>
      <name val="Comic Sans MS"/>
      <family val="4"/>
    </font>
    <font>
      <b/>
      <sz val="11"/>
      <name val="Arial"/>
      <family val="2"/>
    </font>
    <font>
      <sz val="11"/>
      <color indexed="63"/>
      <name val="Comic Sans MS"/>
      <family val="4"/>
    </font>
    <font>
      <b/>
      <sz val="12"/>
      <color indexed="63"/>
      <name val="Comic Sans MS"/>
      <family val="4"/>
    </font>
    <font>
      <b/>
      <sz val="10"/>
      <color indexed="8"/>
      <name val="Comic Sans MS"/>
      <family val="4"/>
    </font>
    <font>
      <sz val="10"/>
      <name val="Arial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u/>
      <sz val="12"/>
      <color indexed="12"/>
      <name val="Arial"/>
      <family val="2"/>
    </font>
    <font>
      <sz val="8"/>
      <name val="Arial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2"/>
      <color rgb="FFFF0000"/>
      <name val="Comic Sans MS"/>
      <family val="4"/>
    </font>
    <font>
      <b/>
      <sz val="10"/>
      <color rgb="FFFF0000"/>
      <name val="Comic Sans MS"/>
      <family val="4"/>
    </font>
    <font>
      <b/>
      <sz val="10"/>
      <color rgb="FF00B050"/>
      <name val="Verdana"/>
      <family val="2"/>
    </font>
    <font>
      <b/>
      <sz val="10"/>
      <color theme="0"/>
      <name val="Verdana"/>
      <family val="2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4">
    <xf numFmtId="0" fontId="0" fillId="0" borderId="0" xfId="0"/>
    <xf numFmtId="0" fontId="0" fillId="0" borderId="0" xfId="0" applyFill="1"/>
    <xf numFmtId="0" fontId="0" fillId="0" borderId="0" xfId="0" applyBorder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/>
    <xf numFmtId="0" fontId="1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5" fillId="0" borderId="0" xfId="0" applyFont="1"/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0" fillId="0" borderId="0" xfId="0" applyFont="1" applyBorder="1"/>
    <xf numFmtId="0" fontId="14" fillId="0" borderId="0" xfId="0" applyFont="1" applyFill="1" applyBorder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3" fontId="6" fillId="0" borderId="0" xfId="0" applyNumberFormat="1" applyFont="1"/>
    <xf numFmtId="3" fontId="10" fillId="0" borderId="0" xfId="1" applyNumberFormat="1" applyFont="1" applyAlignment="1" applyProtection="1">
      <alignment horizontal="right" vertical="center"/>
      <protection locked="0"/>
    </xf>
    <xf numFmtId="3" fontId="11" fillId="0" borderId="0" xfId="1" applyNumberFormat="1" applyFont="1" applyAlignment="1" applyProtection="1">
      <alignment horizontal="right" vertical="center"/>
      <protection locked="0"/>
    </xf>
    <xf numFmtId="3" fontId="11" fillId="0" borderId="0" xfId="1" applyNumberFormat="1" applyFont="1" applyAlignment="1">
      <alignment vertical="center"/>
    </xf>
    <xf numFmtId="3" fontId="6" fillId="0" borderId="0" xfId="1" applyNumberFormat="1" applyFont="1" applyBorder="1" applyAlignment="1">
      <alignment vertical="center"/>
    </xf>
    <xf numFmtId="3" fontId="10" fillId="0" borderId="0" xfId="1" applyNumberFormat="1" applyFont="1" applyBorder="1"/>
    <xf numFmtId="3" fontId="10" fillId="0" borderId="0" xfId="1" applyNumberFormat="1" applyFont="1"/>
    <xf numFmtId="3" fontId="6" fillId="0" borderId="0" xfId="0" applyNumberFormat="1" applyFont="1" applyAlignment="1">
      <alignment horizontal="center" vertical="center"/>
    </xf>
    <xf numFmtId="3" fontId="12" fillId="0" borderId="0" xfId="1" applyNumberFormat="1" applyFont="1" applyAlignment="1">
      <alignment vertical="center"/>
    </xf>
    <xf numFmtId="3" fontId="12" fillId="0" borderId="0" xfId="0" applyNumberFormat="1" applyFont="1" applyAlignment="1">
      <alignment horizontal="center" vertical="center"/>
    </xf>
    <xf numFmtId="3" fontId="0" fillId="0" borderId="0" xfId="1" applyNumberFormat="1" applyFont="1" applyAlignment="1">
      <alignment vertical="center"/>
    </xf>
    <xf numFmtId="3" fontId="0" fillId="0" borderId="0" xfId="0" applyNumberFormat="1" applyAlignment="1">
      <alignment horizontal="center" vertical="center"/>
    </xf>
    <xf numFmtId="3" fontId="11" fillId="0" borderId="0" xfId="0" applyNumberFormat="1" applyFont="1" applyAlignment="1">
      <alignment vertical="center"/>
    </xf>
    <xf numFmtId="3" fontId="0" fillId="0" borderId="0" xfId="0" applyNumberFormat="1"/>
    <xf numFmtId="3" fontId="11" fillId="0" borderId="0" xfId="1" applyNumberFormat="1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19" fillId="0" borderId="0" xfId="1" applyNumberFormat="1" applyFont="1" applyAlignment="1">
      <alignment vertical="center"/>
    </xf>
    <xf numFmtId="0" fontId="19" fillId="0" borderId="0" xfId="0" applyFont="1"/>
    <xf numFmtId="3" fontId="19" fillId="0" borderId="0" xfId="1" applyNumberFormat="1" applyFont="1"/>
    <xf numFmtId="3" fontId="19" fillId="0" borderId="0" xfId="1" applyNumberFormat="1" applyFont="1" applyBorder="1"/>
    <xf numFmtId="0" fontId="19" fillId="0" borderId="0" xfId="0" applyFont="1" applyBorder="1"/>
    <xf numFmtId="0" fontId="19" fillId="0" borderId="1" xfId="0" applyFont="1" applyBorder="1" applyAlignment="1">
      <alignment horizontal="center" vertical="center"/>
    </xf>
    <xf numFmtId="3" fontId="19" fillId="2" borderId="1" xfId="1" applyNumberFormat="1" applyFont="1" applyFill="1" applyBorder="1"/>
    <xf numFmtId="0" fontId="19" fillId="3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Continuous" vertical="center"/>
    </xf>
    <xf numFmtId="0" fontId="19" fillId="0" borderId="1" xfId="0" applyFont="1" applyBorder="1" applyAlignment="1">
      <alignment horizontal="centerContinuous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3" fontId="16" fillId="0" borderId="0" xfId="0" applyNumberFormat="1" applyFont="1"/>
    <xf numFmtId="0" fontId="16" fillId="0" borderId="0" xfId="0" applyFont="1"/>
    <xf numFmtId="0" fontId="19" fillId="0" borderId="4" xfId="0" applyFont="1" applyBorder="1" applyAlignment="1">
      <alignment horizontal="centerContinuous"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/>
    <xf numFmtId="3" fontId="19" fillId="0" borderId="0" xfId="0" applyNumberFormat="1" applyFont="1"/>
    <xf numFmtId="0" fontId="19" fillId="3" borderId="1" xfId="0" applyFont="1" applyFill="1" applyBorder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0" fontId="19" fillId="0" borderId="0" xfId="0" applyFont="1" applyAlignment="1">
      <alignment horizontal="centerContinuous"/>
    </xf>
    <xf numFmtId="3" fontId="19" fillId="0" borderId="5" xfId="1" applyNumberFormat="1" applyFont="1" applyBorder="1" applyAlignment="1" applyProtection="1">
      <alignment horizontal="right" vertical="center"/>
      <protection locked="0"/>
    </xf>
    <xf numFmtId="0" fontId="21" fillId="0" borderId="0" xfId="0" applyFont="1"/>
    <xf numFmtId="0" fontId="21" fillId="0" borderId="0" xfId="0" applyFont="1" applyAlignment="1">
      <alignment horizontal="left"/>
    </xf>
    <xf numFmtId="3" fontId="21" fillId="0" borderId="0" xfId="0" applyNumberFormat="1" applyFont="1"/>
    <xf numFmtId="3" fontId="17" fillId="0" borderId="1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3" fontId="21" fillId="2" borderId="7" xfId="1" applyNumberFormat="1" applyFont="1" applyFill="1" applyBorder="1" applyAlignment="1">
      <alignment horizontal="right" vertical="center"/>
    </xf>
    <xf numFmtId="0" fontId="21" fillId="0" borderId="8" xfId="0" applyFont="1" applyBorder="1" applyAlignment="1">
      <alignment horizontal="left" vertical="center"/>
    </xf>
    <xf numFmtId="3" fontId="21" fillId="2" borderId="9" xfId="1" applyNumberFormat="1" applyFont="1" applyFill="1" applyBorder="1" applyAlignment="1">
      <alignment horizontal="right" vertical="center"/>
    </xf>
    <xf numFmtId="0" fontId="21" fillId="0" borderId="8" xfId="0" applyFont="1" applyBorder="1" applyAlignment="1">
      <alignment horizontal="left" vertical="center" wrapText="1"/>
    </xf>
    <xf numFmtId="3" fontId="21" fillId="0" borderId="9" xfId="1" applyNumberFormat="1" applyFont="1" applyBorder="1" applyAlignment="1">
      <alignment horizontal="right" vertical="center"/>
    </xf>
    <xf numFmtId="3" fontId="22" fillId="3" borderId="1" xfId="1" applyNumberFormat="1" applyFont="1" applyFill="1" applyBorder="1" applyAlignment="1">
      <alignment horizontal="right" vertical="center"/>
    </xf>
    <xf numFmtId="3" fontId="21" fillId="0" borderId="0" xfId="1" applyNumberFormat="1" applyFont="1"/>
    <xf numFmtId="3" fontId="17" fillId="0" borderId="1" xfId="1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3" fontId="21" fillId="0" borderId="11" xfId="1" applyNumberFormat="1" applyFont="1" applyBorder="1" applyAlignment="1">
      <alignment horizontal="righ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12" xfId="0" applyFont="1" applyFill="1" applyBorder="1" applyAlignment="1">
      <alignment horizontal="left" vertical="center"/>
    </xf>
    <xf numFmtId="3" fontId="21" fillId="0" borderId="11" xfId="1" applyNumberFormat="1" applyFont="1" applyFill="1" applyBorder="1" applyAlignment="1">
      <alignment horizontal="right" vertical="center"/>
    </xf>
    <xf numFmtId="0" fontId="22" fillId="3" borderId="13" xfId="0" applyFont="1" applyFill="1" applyBorder="1" applyAlignment="1">
      <alignment horizontal="center" vertical="center"/>
    </xf>
    <xf numFmtId="10" fontId="21" fillId="0" borderId="10" xfId="0" applyNumberFormat="1" applyFont="1" applyBorder="1" applyAlignment="1">
      <alignment horizontal="left" vertical="center"/>
    </xf>
    <xf numFmtId="3" fontId="21" fillId="2" borderId="11" xfId="1" applyNumberFormat="1" applyFont="1" applyFill="1" applyBorder="1" applyAlignment="1">
      <alignment horizontal="right" vertical="center"/>
    </xf>
    <xf numFmtId="3" fontId="21" fillId="2" borderId="14" xfId="1" applyNumberFormat="1" applyFont="1" applyFill="1" applyBorder="1" applyAlignment="1">
      <alignment horizontal="right" vertical="center"/>
    </xf>
    <xf numFmtId="0" fontId="21" fillId="0" borderId="15" xfId="0" applyFont="1" applyBorder="1" applyAlignment="1">
      <alignment horizontal="left" vertical="center"/>
    </xf>
    <xf numFmtId="3" fontId="21" fillId="0" borderId="4" xfId="1" applyNumberFormat="1" applyFont="1" applyBorder="1" applyAlignment="1">
      <alignment horizontal="righ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22" fillId="3" borderId="16" xfId="0" applyFont="1" applyFill="1" applyBorder="1" applyAlignment="1">
      <alignment horizontal="center" vertical="center"/>
    </xf>
    <xf numFmtId="3" fontId="22" fillId="3" borderId="2" xfId="1" applyNumberFormat="1" applyFont="1" applyFill="1" applyBorder="1" applyAlignment="1">
      <alignment horizontal="right" vertical="center"/>
    </xf>
    <xf numFmtId="0" fontId="24" fillId="4" borderId="17" xfId="0" applyFont="1" applyFill="1" applyBorder="1" applyAlignment="1">
      <alignment horizontal="center" vertical="center"/>
    </xf>
    <xf numFmtId="3" fontId="24" fillId="4" borderId="17" xfId="1" applyNumberFormat="1" applyFont="1" applyFill="1" applyBorder="1" applyAlignment="1">
      <alignment horizontal="right" vertical="center"/>
    </xf>
    <xf numFmtId="3" fontId="24" fillId="4" borderId="18" xfId="1" applyNumberFormat="1" applyFont="1" applyFill="1" applyBorder="1" applyAlignment="1">
      <alignment horizontal="right" vertical="center"/>
    </xf>
    <xf numFmtId="0" fontId="25" fillId="0" borderId="19" xfId="0" applyFont="1" applyBorder="1" applyAlignment="1">
      <alignment horizontal="center" vertical="center"/>
    </xf>
    <xf numFmtId="3" fontId="21" fillId="0" borderId="1" xfId="1" applyNumberFormat="1" applyFont="1" applyBorder="1" applyAlignment="1">
      <alignment horizontal="right" vertical="center"/>
    </xf>
    <xf numFmtId="0" fontId="21" fillId="0" borderId="20" xfId="0" applyFont="1" applyBorder="1" applyAlignment="1">
      <alignment horizontal="left" vertical="center"/>
    </xf>
    <xf numFmtId="3" fontId="21" fillId="0" borderId="3" xfId="1" applyNumberFormat="1" applyFont="1" applyBorder="1" applyAlignment="1">
      <alignment horizontal="right" vertical="center"/>
    </xf>
    <xf numFmtId="0" fontId="21" fillId="0" borderId="14" xfId="0" applyFont="1" applyBorder="1" applyAlignment="1">
      <alignment horizontal="left" vertical="center"/>
    </xf>
    <xf numFmtId="10" fontId="21" fillId="0" borderId="14" xfId="0" applyNumberFormat="1" applyFont="1" applyBorder="1" applyAlignment="1">
      <alignment horizontal="left" vertical="center"/>
    </xf>
    <xf numFmtId="0" fontId="17" fillId="4" borderId="21" xfId="0" applyFont="1" applyFill="1" applyBorder="1" applyAlignment="1">
      <alignment horizontal="center" vertical="center"/>
    </xf>
    <xf numFmtId="3" fontId="17" fillId="4" borderId="17" xfId="1" applyNumberFormat="1" applyFont="1" applyFill="1" applyBorder="1" applyAlignment="1">
      <alignment horizontal="right" vertical="center"/>
    </xf>
    <xf numFmtId="3" fontId="17" fillId="4" borderId="18" xfId="1" applyNumberFormat="1" applyFont="1" applyFill="1" applyBorder="1" applyAlignment="1">
      <alignment horizontal="right" vertical="center"/>
    </xf>
    <xf numFmtId="3" fontId="16" fillId="0" borderId="0" xfId="1" applyNumberFormat="1" applyFont="1" applyAlignment="1">
      <alignment horizontal="centerContinuous"/>
    </xf>
    <xf numFmtId="0" fontId="16" fillId="0" borderId="19" xfId="0" applyFont="1" applyBorder="1" applyAlignment="1">
      <alignment horizontal="center" vertical="center"/>
    </xf>
    <xf numFmtId="3" fontId="16" fillId="0" borderId="11" xfId="1" applyNumberFormat="1" applyFont="1" applyBorder="1" applyAlignment="1">
      <alignment horizontal="right"/>
    </xf>
    <xf numFmtId="3" fontId="16" fillId="0" borderId="9" xfId="1" applyNumberFormat="1" applyFont="1" applyBorder="1" applyAlignment="1">
      <alignment horizontal="right"/>
    </xf>
    <xf numFmtId="3" fontId="24" fillId="3" borderId="1" xfId="1" applyNumberFormat="1" applyFont="1" applyFill="1" applyBorder="1" applyAlignment="1">
      <alignment horizontal="right"/>
    </xf>
    <xf numFmtId="0" fontId="21" fillId="0" borderId="0" xfId="0" applyFont="1" applyBorder="1" applyAlignment="1">
      <alignment horizontal="left" vertical="center"/>
    </xf>
    <xf numFmtId="3" fontId="16" fillId="0" borderId="0" xfId="1" applyNumberFormat="1" applyFont="1" applyBorder="1" applyAlignment="1">
      <alignment horizontal="right"/>
    </xf>
    <xf numFmtId="3" fontId="16" fillId="2" borderId="11" xfId="1" applyNumberFormat="1" applyFont="1" applyFill="1" applyBorder="1" applyAlignment="1">
      <alignment horizontal="right"/>
    </xf>
    <xf numFmtId="9" fontId="21" fillId="0" borderId="10" xfId="0" applyNumberFormat="1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3" fontId="16" fillId="2" borderId="14" xfId="1" applyNumberFormat="1" applyFont="1" applyFill="1" applyBorder="1" applyAlignment="1">
      <alignment horizontal="right"/>
    </xf>
    <xf numFmtId="0" fontId="21" fillId="0" borderId="22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1" fillId="0" borderId="0" xfId="0" applyFont="1" applyAlignment="1">
      <alignment horizontal="centerContinuous"/>
    </xf>
    <xf numFmtId="0" fontId="21" fillId="0" borderId="19" xfId="0" applyFont="1" applyBorder="1" applyAlignment="1">
      <alignment horizontal="center" vertical="center"/>
    </xf>
    <xf numFmtId="3" fontId="19" fillId="0" borderId="0" xfId="1" applyNumberFormat="1" applyFont="1" applyBorder="1" applyAlignment="1">
      <alignment vertical="center"/>
    </xf>
    <xf numFmtId="0" fontId="22" fillId="0" borderId="0" xfId="0" applyFont="1" applyBorder="1" applyAlignment="1">
      <alignment horizontal="centerContinuous" vertical="center"/>
    </xf>
    <xf numFmtId="3" fontId="21" fillId="0" borderId="0" xfId="1" applyNumberFormat="1" applyFont="1" applyBorder="1" applyAlignment="1">
      <alignment horizontal="centerContinuous" vertical="center"/>
    </xf>
    <xf numFmtId="3" fontId="21" fillId="0" borderId="0" xfId="0" applyNumberFormat="1" applyFont="1" applyBorder="1" applyAlignment="1">
      <alignment horizontal="center" vertical="center"/>
    </xf>
    <xf numFmtId="3" fontId="21" fillId="0" borderId="0" xfId="1" applyNumberFormat="1" applyFont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3" fontId="22" fillId="0" borderId="1" xfId="1" applyNumberFormat="1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/>
    </xf>
    <xf numFmtId="3" fontId="21" fillId="2" borderId="11" xfId="1" applyNumberFormat="1" applyFont="1" applyFill="1" applyBorder="1" applyAlignment="1">
      <alignment vertical="center"/>
    </xf>
    <xf numFmtId="3" fontId="21" fillId="3" borderId="11" xfId="0" applyNumberFormat="1" applyFont="1" applyFill="1" applyBorder="1" applyAlignment="1">
      <alignment horizontal="center" vertical="center"/>
    </xf>
    <xf numFmtId="3" fontId="21" fillId="3" borderId="11" xfId="1" applyNumberFormat="1" applyFont="1" applyFill="1" applyBorder="1" applyAlignment="1">
      <alignment vertical="center"/>
    </xf>
    <xf numFmtId="3" fontId="21" fillId="0" borderId="11" xfId="1" applyNumberFormat="1" applyFont="1" applyBorder="1" applyAlignment="1">
      <alignment vertical="center"/>
    </xf>
    <xf numFmtId="3" fontId="21" fillId="0" borderId="1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3" fontId="21" fillId="2" borderId="1" xfId="1" applyNumberFormat="1" applyFont="1" applyFill="1" applyBorder="1" applyAlignment="1">
      <alignment horizontal="center"/>
    </xf>
    <xf numFmtId="0" fontId="21" fillId="5" borderId="2" xfId="0" applyFont="1" applyFill="1" applyBorder="1" applyAlignment="1">
      <alignment horizontal="center"/>
    </xf>
    <xf numFmtId="0" fontId="21" fillId="5" borderId="3" xfId="0" applyFont="1" applyFill="1" applyBorder="1" applyAlignment="1">
      <alignment horizontal="center"/>
    </xf>
    <xf numFmtId="3" fontId="19" fillId="0" borderId="0" xfId="0" applyNumberFormat="1" applyFont="1" applyBorder="1" applyAlignment="1">
      <alignment vertical="center"/>
    </xf>
    <xf numFmtId="3" fontId="19" fillId="2" borderId="1" xfId="1" applyNumberFormat="1" applyFont="1" applyFill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3" fontId="19" fillId="0" borderId="0" xfId="0" applyNumberFormat="1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10" fontId="16" fillId="0" borderId="24" xfId="0" applyNumberFormat="1" applyFont="1" applyBorder="1"/>
    <xf numFmtId="2" fontId="16" fillId="0" borderId="24" xfId="0" applyNumberFormat="1" applyFont="1" applyBorder="1"/>
    <xf numFmtId="0" fontId="16" fillId="0" borderId="24" xfId="0" applyFont="1" applyBorder="1"/>
    <xf numFmtId="0" fontId="24" fillId="6" borderId="0" xfId="0" applyFont="1" applyFill="1"/>
    <xf numFmtId="0" fontId="16" fillId="6" borderId="0" xfId="0" applyFont="1" applyFill="1"/>
    <xf numFmtId="0" fontId="16" fillId="3" borderId="3" xfId="0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right"/>
    </xf>
    <xf numFmtId="0" fontId="20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3" fontId="16" fillId="0" borderId="0" xfId="1" applyNumberFormat="1" applyFont="1"/>
    <xf numFmtId="0" fontId="16" fillId="0" borderId="0" xfId="0" applyFont="1" applyAlignment="1">
      <alignment horizontal="left"/>
    </xf>
    <xf numFmtId="3" fontId="16" fillId="0" borderId="4" xfId="1" applyNumberFormat="1" applyFont="1" applyBorder="1"/>
    <xf numFmtId="3" fontId="16" fillId="2" borderId="14" xfId="1" applyNumberFormat="1" applyFont="1" applyFill="1" applyBorder="1"/>
    <xf numFmtId="3" fontId="24" fillId="3" borderId="1" xfId="1" applyNumberFormat="1" applyFont="1" applyFill="1" applyBorder="1"/>
    <xf numFmtId="0" fontId="24" fillId="0" borderId="0" xfId="0" applyFont="1" applyFill="1" applyBorder="1" applyAlignment="1">
      <alignment horizontal="right"/>
    </xf>
    <xf numFmtId="3" fontId="24" fillId="0" borderId="0" xfId="1" applyNumberFormat="1" applyFont="1" applyFill="1" applyBorder="1"/>
    <xf numFmtId="0" fontId="24" fillId="0" borderId="25" xfId="0" applyFont="1" applyBorder="1"/>
    <xf numFmtId="3" fontId="16" fillId="0" borderId="26" xfId="1" applyNumberFormat="1" applyFont="1" applyBorder="1"/>
    <xf numFmtId="0" fontId="24" fillId="0" borderId="27" xfId="0" applyFont="1" applyBorder="1"/>
    <xf numFmtId="0" fontId="24" fillId="0" borderId="8" xfId="0" applyFont="1" applyBorder="1" applyAlignment="1">
      <alignment horizontal="left" vertical="center"/>
    </xf>
    <xf numFmtId="3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11" fillId="0" borderId="0" xfId="0" applyNumberFormat="1" applyFont="1" applyAlignment="1">
      <alignment vertical="center"/>
    </xf>
    <xf numFmtId="1" fontId="19" fillId="0" borderId="0" xfId="0" applyNumberFormat="1" applyFont="1" applyAlignment="1">
      <alignment vertical="center"/>
    </xf>
    <xf numFmtId="3" fontId="21" fillId="0" borderId="19" xfId="0" applyNumberFormat="1" applyFont="1" applyBorder="1" applyAlignment="1">
      <alignment horizontal="centerContinuous" vertical="center"/>
    </xf>
    <xf numFmtId="0" fontId="21" fillId="0" borderId="13" xfId="0" applyFont="1" applyBorder="1" applyAlignment="1">
      <alignment horizontal="centerContinuous" vertical="center"/>
    </xf>
    <xf numFmtId="1" fontId="21" fillId="0" borderId="19" xfId="0" applyNumberFormat="1" applyFont="1" applyBorder="1" applyAlignment="1">
      <alignment horizontal="centerContinuous" vertical="center"/>
    </xf>
    <xf numFmtId="3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4" fillId="3" borderId="1" xfId="0" applyFont="1" applyFill="1" applyBorder="1" applyAlignment="1">
      <alignment vertical="center"/>
    </xf>
    <xf numFmtId="3" fontId="22" fillId="3" borderId="1" xfId="1" applyNumberFormat="1" applyFont="1" applyFill="1" applyBorder="1" applyAlignment="1">
      <alignment vertical="center"/>
    </xf>
    <xf numFmtId="9" fontId="22" fillId="3" borderId="1" xfId="5" applyFont="1" applyFill="1" applyBorder="1" applyAlignment="1">
      <alignment vertical="center"/>
    </xf>
    <xf numFmtId="1" fontId="22" fillId="3" borderId="1" xfId="1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3" fontId="21" fillId="0" borderId="0" xfId="0" applyNumberFormat="1" applyFont="1" applyAlignment="1">
      <alignment vertical="center"/>
    </xf>
    <xf numFmtId="1" fontId="21" fillId="0" borderId="0" xfId="0" applyNumberFormat="1" applyFont="1" applyAlignment="1">
      <alignment vertical="center"/>
    </xf>
    <xf numFmtId="0" fontId="21" fillId="0" borderId="28" xfId="0" applyFont="1" applyBorder="1" applyAlignment="1">
      <alignment vertical="center"/>
    </xf>
    <xf numFmtId="3" fontId="21" fillId="0" borderId="28" xfId="1" applyNumberFormat="1" applyFont="1" applyBorder="1" applyAlignment="1">
      <alignment vertical="center"/>
    </xf>
    <xf numFmtId="1" fontId="21" fillId="0" borderId="28" xfId="1" applyNumberFormat="1" applyFont="1" applyBorder="1" applyAlignment="1">
      <alignment vertical="center"/>
    </xf>
    <xf numFmtId="1" fontId="21" fillId="0" borderId="11" xfId="1" applyNumberFormat="1" applyFont="1" applyBorder="1" applyAlignment="1">
      <alignment vertical="center"/>
    </xf>
    <xf numFmtId="0" fontId="22" fillId="3" borderId="29" xfId="0" applyFont="1" applyFill="1" applyBorder="1" applyAlignment="1">
      <alignment vertical="center"/>
    </xf>
    <xf numFmtId="3" fontId="22" fillId="3" borderId="29" xfId="1" applyNumberFormat="1" applyFont="1" applyFill="1" applyBorder="1" applyAlignment="1">
      <alignment vertical="center"/>
    </xf>
    <xf numFmtId="1" fontId="22" fillId="3" borderId="29" xfId="1" applyNumberFormat="1" applyFont="1" applyFill="1" applyBorder="1" applyAlignment="1">
      <alignment vertical="center"/>
    </xf>
    <xf numFmtId="0" fontId="22" fillId="3" borderId="11" xfId="0" applyFont="1" applyFill="1" applyBorder="1" applyAlignment="1">
      <alignment vertical="center"/>
    </xf>
    <xf numFmtId="3" fontId="22" fillId="3" borderId="11" xfId="1" applyNumberFormat="1" applyFont="1" applyFill="1" applyBorder="1" applyAlignment="1">
      <alignment vertical="center"/>
    </xf>
    <xf numFmtId="1" fontId="22" fillId="3" borderId="11" xfId="1" applyNumberFormat="1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3" fontId="21" fillId="0" borderId="1" xfId="1" applyNumberFormat="1" applyFont="1" applyBorder="1" applyAlignment="1">
      <alignment vertical="center"/>
    </xf>
    <xf numFmtId="1" fontId="21" fillId="0" borderId="1" xfId="1" applyNumberFormat="1" applyFont="1" applyBorder="1" applyAlignment="1">
      <alignment vertical="center"/>
    </xf>
    <xf numFmtId="0" fontId="22" fillId="3" borderId="1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3" fontId="21" fillId="0" borderId="11" xfId="1" applyNumberFormat="1" applyFont="1" applyFill="1" applyBorder="1" applyAlignment="1">
      <alignment vertical="center"/>
    </xf>
    <xf numFmtId="1" fontId="21" fillId="0" borderId="11" xfId="1" applyNumberFormat="1" applyFont="1" applyFill="1" applyBorder="1" applyAlignment="1">
      <alignment vertical="center"/>
    </xf>
    <xf numFmtId="0" fontId="22" fillId="3" borderId="11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/>
    </xf>
    <xf numFmtId="3" fontId="21" fillId="0" borderId="3" xfId="1" applyNumberFormat="1" applyFont="1" applyFill="1" applyBorder="1" applyAlignment="1">
      <alignment vertical="center"/>
    </xf>
    <xf numFmtId="1" fontId="21" fillId="0" borderId="3" xfId="1" applyNumberFormat="1" applyFont="1" applyFill="1" applyBorder="1" applyAlignment="1">
      <alignment vertical="center"/>
    </xf>
    <xf numFmtId="0" fontId="22" fillId="3" borderId="2" xfId="0" applyFont="1" applyFill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3" fontId="20" fillId="2" borderId="1" xfId="0" applyNumberFormat="1" applyFont="1" applyFill="1" applyBorder="1" applyAlignment="1">
      <alignment horizontal="right" vertical="center"/>
    </xf>
    <xf numFmtId="0" fontId="21" fillId="0" borderId="30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3" fontId="16" fillId="0" borderId="32" xfId="1" applyNumberFormat="1" applyFont="1" applyBorder="1" applyAlignment="1">
      <alignment horizontal="right"/>
    </xf>
    <xf numFmtId="3" fontId="16" fillId="0" borderId="33" xfId="1" applyNumberFormat="1" applyFont="1" applyBorder="1" applyAlignment="1">
      <alignment horizontal="right"/>
    </xf>
    <xf numFmtId="0" fontId="21" fillId="0" borderId="34" xfId="0" applyFont="1" applyBorder="1" applyAlignment="1">
      <alignment horizontal="left" vertical="center"/>
    </xf>
    <xf numFmtId="3" fontId="16" fillId="0" borderId="2" xfId="1" applyNumberFormat="1" applyFont="1" applyBorder="1" applyAlignment="1">
      <alignment horizontal="right"/>
    </xf>
    <xf numFmtId="0" fontId="21" fillId="3" borderId="1" xfId="0" applyFont="1" applyFill="1" applyBorder="1" applyAlignment="1">
      <alignment horizontal="left" vertical="center"/>
    </xf>
    <xf numFmtId="10" fontId="21" fillId="0" borderId="31" xfId="0" applyNumberFormat="1" applyFont="1" applyBorder="1" applyAlignment="1">
      <alignment horizontal="left" vertical="center"/>
    </xf>
    <xf numFmtId="3" fontId="16" fillId="0" borderId="32" xfId="1" applyNumberFormat="1" applyFont="1" applyFill="1" applyBorder="1" applyAlignment="1">
      <alignment horizontal="right"/>
    </xf>
    <xf numFmtId="3" fontId="24" fillId="3" borderId="35" xfId="1" applyNumberFormat="1" applyFont="1" applyFill="1" applyBorder="1" applyAlignment="1">
      <alignment horizontal="right"/>
    </xf>
    <xf numFmtId="0" fontId="16" fillId="3" borderId="1" xfId="0" applyFont="1" applyFill="1" applyBorder="1" applyAlignment="1">
      <alignment horizontal="right"/>
    </xf>
    <xf numFmtId="0" fontId="16" fillId="4" borderId="1" xfId="0" applyFont="1" applyFill="1" applyBorder="1" applyAlignment="1">
      <alignment horizontal="right"/>
    </xf>
    <xf numFmtId="0" fontId="30" fillId="0" borderId="0" xfId="0" applyFont="1" applyAlignment="1">
      <alignment horizontal="center"/>
    </xf>
    <xf numFmtId="0" fontId="20" fillId="0" borderId="0" xfId="0" applyFont="1" applyBorder="1"/>
    <xf numFmtId="3" fontId="19" fillId="0" borderId="0" xfId="5" applyNumberFormat="1" applyFont="1" applyBorder="1"/>
    <xf numFmtId="3" fontId="19" fillId="0" borderId="0" xfId="1" applyNumberFormat="1" applyFont="1" applyFill="1" applyBorder="1"/>
    <xf numFmtId="3" fontId="19" fillId="0" borderId="0" xfId="0" applyNumberFormat="1" applyFont="1" applyFill="1"/>
    <xf numFmtId="3" fontId="19" fillId="0" borderId="0" xfId="1" applyNumberFormat="1" applyFont="1" applyFill="1"/>
    <xf numFmtId="3" fontId="20" fillId="0" borderId="0" xfId="1" applyNumberFormat="1" applyFont="1" applyFill="1" applyBorder="1"/>
    <xf numFmtId="0" fontId="17" fillId="3" borderId="1" xfId="0" applyFont="1" applyFill="1" applyBorder="1" applyAlignment="1">
      <alignment horizontal="center" vertical="center"/>
    </xf>
    <xf numFmtId="3" fontId="17" fillId="2" borderId="1" xfId="1" applyNumberFormat="1" applyFont="1" applyFill="1" applyBorder="1"/>
    <xf numFmtId="168" fontId="19" fillId="2" borderId="1" xfId="5" applyNumberFormat="1" applyFont="1" applyFill="1" applyBorder="1"/>
    <xf numFmtId="0" fontId="20" fillId="4" borderId="1" xfId="0" applyFont="1" applyFill="1" applyBorder="1" applyAlignment="1">
      <alignment horizontal="right" vertical="center"/>
    </xf>
    <xf numFmtId="3" fontId="20" fillId="4" borderId="1" xfId="1" applyNumberFormat="1" applyFont="1" applyFill="1" applyBorder="1" applyAlignment="1">
      <alignment horizontal="right" vertical="center"/>
    </xf>
    <xf numFmtId="3" fontId="31" fillId="0" borderId="1" xfId="1" applyNumberFormat="1" applyFont="1" applyBorder="1" applyAlignment="1">
      <alignment horizontal="center" vertical="center"/>
    </xf>
    <xf numFmtId="3" fontId="31" fillId="0" borderId="36" xfId="1" applyNumberFormat="1" applyFont="1" applyBorder="1" applyAlignment="1">
      <alignment horizontal="center" vertical="center"/>
    </xf>
    <xf numFmtId="0" fontId="17" fillId="4" borderId="37" xfId="0" applyFont="1" applyFill="1" applyBorder="1" applyAlignment="1">
      <alignment horizontal="left" vertical="center"/>
    </xf>
    <xf numFmtId="0" fontId="17" fillId="4" borderId="38" xfId="0" applyFont="1" applyFill="1" applyBorder="1" applyAlignment="1">
      <alignment horizontal="left" vertical="center"/>
    </xf>
    <xf numFmtId="3" fontId="17" fillId="4" borderId="39" xfId="1" applyNumberFormat="1" applyFont="1" applyFill="1" applyBorder="1" applyAlignment="1">
      <alignment horizontal="right"/>
    </xf>
    <xf numFmtId="0" fontId="20" fillId="0" borderId="0" xfId="0" applyFont="1" applyBorder="1" applyAlignment="1">
      <alignment vertical="center"/>
    </xf>
    <xf numFmtId="3" fontId="16" fillId="2" borderId="26" xfId="0" applyNumberFormat="1" applyFont="1" applyFill="1" applyBorder="1"/>
    <xf numFmtId="3" fontId="16" fillId="2" borderId="40" xfId="0" applyNumberFormat="1" applyFont="1" applyFill="1" applyBorder="1"/>
    <xf numFmtId="3" fontId="16" fillId="2" borderId="1" xfId="1" applyNumberFormat="1" applyFont="1" applyFill="1" applyBorder="1"/>
    <xf numFmtId="0" fontId="34" fillId="0" borderId="0" xfId="0" applyFont="1" applyFill="1" applyBorder="1" applyAlignment="1">
      <alignment horizontal="center"/>
    </xf>
    <xf numFmtId="3" fontId="16" fillId="7" borderId="14" xfId="1" applyNumberFormat="1" applyFont="1" applyFill="1" applyBorder="1"/>
    <xf numFmtId="0" fontId="33" fillId="7" borderId="26" xfId="0" applyFont="1" applyFill="1" applyBorder="1"/>
    <xf numFmtId="3" fontId="33" fillId="7" borderId="26" xfId="0" applyNumberFormat="1" applyFont="1" applyFill="1" applyBorder="1"/>
    <xf numFmtId="3" fontId="33" fillId="7" borderId="40" xfId="0" applyNumberFormat="1" applyFont="1" applyFill="1" applyBorder="1"/>
    <xf numFmtId="0" fontId="32" fillId="7" borderId="0" xfId="0" applyFont="1" applyFill="1"/>
    <xf numFmtId="3" fontId="16" fillId="7" borderId="0" xfId="1" applyNumberFormat="1" applyFont="1" applyFill="1"/>
    <xf numFmtId="3" fontId="16" fillId="7" borderId="4" xfId="1" applyNumberFormat="1" applyFont="1" applyFill="1" applyBorder="1"/>
    <xf numFmtId="3" fontId="16" fillId="7" borderId="26" xfId="1" applyNumberFormat="1" applyFont="1" applyFill="1" applyBorder="1"/>
    <xf numFmtId="168" fontId="16" fillId="2" borderId="26" xfId="0" applyNumberFormat="1" applyFont="1" applyFill="1" applyBorder="1"/>
    <xf numFmtId="3" fontId="33" fillId="2" borderId="26" xfId="0" applyNumberFormat="1" applyFont="1" applyFill="1" applyBorder="1"/>
    <xf numFmtId="3" fontId="21" fillId="0" borderId="14" xfId="1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3" fontId="21" fillId="0" borderId="0" xfId="1" applyNumberFormat="1" applyFont="1" applyFill="1" applyBorder="1" applyAlignment="1">
      <alignment horizontal="right" vertical="center"/>
    </xf>
    <xf numFmtId="0" fontId="21" fillId="0" borderId="22" xfId="0" applyFont="1" applyFill="1" applyBorder="1" applyAlignment="1">
      <alignment horizontal="left" vertical="center"/>
    </xf>
    <xf numFmtId="3" fontId="21" fillId="0" borderId="4" xfId="1" applyNumberFormat="1" applyFont="1" applyFill="1" applyBorder="1" applyAlignment="1">
      <alignment horizontal="right" vertical="center"/>
    </xf>
    <xf numFmtId="0" fontId="21" fillId="8" borderId="42" xfId="0" applyFont="1" applyFill="1" applyBorder="1" applyAlignment="1">
      <alignment horizontal="center"/>
    </xf>
    <xf numFmtId="0" fontId="21" fillId="8" borderId="41" xfId="0" applyFont="1" applyFill="1" applyBorder="1" applyAlignment="1">
      <alignment horizontal="center"/>
    </xf>
    <xf numFmtId="10" fontId="16" fillId="0" borderId="10" xfId="0" applyNumberFormat="1" applyFont="1" applyBorder="1" applyAlignment="1">
      <alignment horizontal="left" vertical="center"/>
    </xf>
    <xf numFmtId="10" fontId="16" fillId="0" borderId="31" xfId="0" applyNumberFormat="1" applyFont="1" applyBorder="1" applyAlignment="1">
      <alignment horizontal="left" vertical="center"/>
    </xf>
    <xf numFmtId="0" fontId="22" fillId="4" borderId="1" xfId="0" applyFont="1" applyFill="1" applyBorder="1"/>
    <xf numFmtId="0" fontId="21" fillId="4" borderId="1" xfId="0" applyFont="1" applyFill="1" applyBorder="1"/>
    <xf numFmtId="168" fontId="22" fillId="4" borderId="1" xfId="0" applyNumberFormat="1" applyFont="1" applyFill="1" applyBorder="1"/>
    <xf numFmtId="3" fontId="21" fillId="3" borderId="1" xfId="1" applyNumberFormat="1" applyFont="1" applyFill="1" applyBorder="1" applyAlignment="1">
      <alignment horizontal="right" vertical="center"/>
    </xf>
    <xf numFmtId="0" fontId="22" fillId="3" borderId="1" xfId="0" applyFont="1" applyFill="1" applyBorder="1"/>
    <xf numFmtId="0" fontId="21" fillId="3" borderId="1" xfId="0" applyFont="1" applyFill="1" applyBorder="1"/>
    <xf numFmtId="3" fontId="21" fillId="3" borderId="1" xfId="0" applyNumberFormat="1" applyFont="1" applyFill="1" applyBorder="1"/>
    <xf numFmtId="3" fontId="21" fillId="2" borderId="3" xfId="1" applyNumberFormat="1" applyFont="1" applyFill="1" applyBorder="1" applyAlignment="1">
      <alignment horizontal="right"/>
    </xf>
    <xf numFmtId="0" fontId="19" fillId="8" borderId="42" xfId="0" applyFont="1" applyFill="1" applyBorder="1" applyAlignment="1">
      <alignment vertical="center"/>
    </xf>
    <xf numFmtId="0" fontId="37" fillId="0" borderId="0" xfId="0" applyFont="1" applyAlignment="1">
      <alignment vertical="center"/>
    </xf>
    <xf numFmtId="0" fontId="17" fillId="8" borderId="42" xfId="0" applyFont="1" applyFill="1" applyBorder="1" applyAlignment="1">
      <alignment horizontal="center" vertical="center"/>
    </xf>
    <xf numFmtId="0" fontId="17" fillId="8" borderId="41" xfId="0" applyFont="1" applyFill="1" applyBorder="1" applyAlignment="1">
      <alignment horizontal="center" vertical="center"/>
    </xf>
    <xf numFmtId="3" fontId="19" fillId="0" borderId="0" xfId="1" applyNumberFormat="1" applyFont="1" applyAlignment="1">
      <alignment horizontal="left" vertical="center"/>
    </xf>
    <xf numFmtId="3" fontId="20" fillId="0" borderId="0" xfId="1" applyNumberFormat="1" applyFont="1" applyAlignment="1">
      <alignment horizontal="center"/>
    </xf>
    <xf numFmtId="0" fontId="20" fillId="3" borderId="1" xfId="0" applyFont="1" applyFill="1" applyBorder="1" applyAlignment="1">
      <alignment horizontal="centerContinuous" vertical="center"/>
    </xf>
    <xf numFmtId="0" fontId="0" fillId="0" borderId="43" xfId="0" applyBorder="1"/>
    <xf numFmtId="0" fontId="24" fillId="2" borderId="0" xfId="0" applyFont="1" applyFill="1"/>
    <xf numFmtId="0" fontId="16" fillId="2" borderId="0" xfId="0" applyFont="1" applyFill="1"/>
    <xf numFmtId="10" fontId="24" fillId="2" borderId="24" xfId="0" applyNumberFormat="1" applyFont="1" applyFill="1" applyBorder="1"/>
    <xf numFmtId="10" fontId="24" fillId="0" borderId="0" xfId="0" applyNumberFormat="1" applyFont="1" applyBorder="1"/>
    <xf numFmtId="0" fontId="20" fillId="0" borderId="0" xfId="0" applyFont="1"/>
    <xf numFmtId="0" fontId="39" fillId="0" borderId="0" xfId="0" applyFont="1"/>
    <xf numFmtId="0" fontId="17" fillId="8" borderId="44" xfId="0" applyFont="1" applyFill="1" applyBorder="1" applyAlignment="1">
      <alignment horizontal="center"/>
    </xf>
    <xf numFmtId="0" fontId="3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3" fontId="22" fillId="3" borderId="19" xfId="1" applyNumberFormat="1" applyFont="1" applyFill="1" applyBorder="1" applyAlignment="1">
      <alignment horizontal="right" vertical="center"/>
    </xf>
    <xf numFmtId="0" fontId="38" fillId="0" borderId="0" xfId="0" applyFont="1" applyAlignment="1">
      <alignment horizontal="centerContinuous"/>
    </xf>
    <xf numFmtId="49" fontId="23" fillId="0" borderId="45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3" fontId="22" fillId="0" borderId="3" xfId="1" applyNumberFormat="1" applyFont="1" applyBorder="1" applyAlignment="1">
      <alignment horizontal="centerContinuous" vertical="center"/>
    </xf>
    <xf numFmtId="3" fontId="22" fillId="0" borderId="0" xfId="1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" fontId="22" fillId="0" borderId="0" xfId="1" applyNumberFormat="1" applyFont="1" applyFill="1" applyBorder="1" applyAlignment="1">
      <alignment vertical="center"/>
    </xf>
    <xf numFmtId="0" fontId="22" fillId="3" borderId="1" xfId="0" applyFont="1" applyFill="1" applyBorder="1" applyAlignment="1">
      <alignment horizontal="right" vertical="center"/>
    </xf>
    <xf numFmtId="0" fontId="40" fillId="0" borderId="0" xfId="0" applyFont="1"/>
    <xf numFmtId="3" fontId="22" fillId="4" borderId="1" xfId="1" applyNumberFormat="1" applyFont="1" applyFill="1" applyBorder="1" applyAlignment="1">
      <alignment horizontal="right" vertical="center"/>
    </xf>
    <xf numFmtId="0" fontId="21" fillId="0" borderId="19" xfId="0" applyFont="1" applyBorder="1"/>
    <xf numFmtId="0" fontId="21" fillId="0" borderId="13" xfId="0" applyFont="1" applyBorder="1"/>
    <xf numFmtId="0" fontId="21" fillId="0" borderId="15" xfId="0" applyFont="1" applyBorder="1"/>
    <xf numFmtId="0" fontId="21" fillId="0" borderId="40" xfId="0" applyFont="1" applyBorder="1"/>
    <xf numFmtId="3" fontId="22" fillId="9" borderId="1" xfId="1" applyNumberFormat="1" applyFont="1" applyFill="1" applyBorder="1" applyAlignment="1">
      <alignment horizontal="centerContinuous" vertical="center"/>
    </xf>
    <xf numFmtId="0" fontId="20" fillId="4" borderId="19" xfId="0" applyFont="1" applyFill="1" applyBorder="1" applyAlignment="1">
      <alignment horizontal="center"/>
    </xf>
    <xf numFmtId="0" fontId="21" fillId="4" borderId="13" xfId="0" applyFont="1" applyFill="1" applyBorder="1"/>
    <xf numFmtId="0" fontId="17" fillId="8" borderId="44" xfId="0" applyFont="1" applyFill="1" applyBorder="1" applyAlignment="1">
      <alignment horizontal="left" vertical="center"/>
    </xf>
    <xf numFmtId="0" fontId="21" fillId="8" borderId="42" xfId="0" applyFont="1" applyFill="1" applyBorder="1" applyAlignment="1">
      <alignment horizontal="left" vertical="center"/>
    </xf>
    <xf numFmtId="0" fontId="22" fillId="3" borderId="14" xfId="0" applyFont="1" applyFill="1" applyBorder="1" applyAlignment="1">
      <alignment horizontal="left" vertical="center"/>
    </xf>
    <xf numFmtId="10" fontId="21" fillId="3" borderId="14" xfId="0" applyNumberFormat="1" applyFont="1" applyFill="1" applyBorder="1" applyAlignment="1">
      <alignment horizontal="left" vertical="center"/>
    </xf>
    <xf numFmtId="3" fontId="21" fillId="3" borderId="14" xfId="1" applyNumberFormat="1" applyFont="1" applyFill="1" applyBorder="1" applyAlignment="1">
      <alignment horizontal="right" vertical="center"/>
    </xf>
    <xf numFmtId="3" fontId="21" fillId="2" borderId="3" xfId="1" applyNumberFormat="1" applyFont="1" applyFill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22" fillId="0" borderId="46" xfId="0" applyFont="1" applyFill="1" applyBorder="1" applyAlignment="1">
      <alignment horizontal="right" vertical="center"/>
    </xf>
    <xf numFmtId="0" fontId="21" fillId="0" borderId="19" xfId="0" applyFont="1" applyFill="1" applyBorder="1" applyAlignment="1">
      <alignment horizontal="left" vertical="center"/>
    </xf>
    <xf numFmtId="0" fontId="22" fillId="4" borderId="46" xfId="0" applyFont="1" applyFill="1" applyBorder="1" applyAlignment="1">
      <alignment horizontal="left" vertical="center"/>
    </xf>
    <xf numFmtId="0" fontId="22" fillId="4" borderId="19" xfId="0" applyFont="1" applyFill="1" applyBorder="1" applyAlignment="1">
      <alignment horizontal="left" vertical="center"/>
    </xf>
    <xf numFmtId="3" fontId="24" fillId="4" borderId="1" xfId="1" applyNumberFormat="1" applyFont="1" applyFill="1" applyBorder="1" applyAlignment="1">
      <alignment horizontal="right"/>
    </xf>
    <xf numFmtId="0" fontId="22" fillId="4" borderId="47" xfId="0" applyFont="1" applyFill="1" applyBorder="1" applyAlignment="1">
      <alignment horizontal="left" vertical="center"/>
    </xf>
    <xf numFmtId="0" fontId="22" fillId="4" borderId="48" xfId="0" applyFont="1" applyFill="1" applyBorder="1" applyAlignment="1">
      <alignment horizontal="left" vertical="center"/>
    </xf>
    <xf numFmtId="3" fontId="24" fillId="4" borderId="29" xfId="1" applyNumberFormat="1" applyFont="1" applyFill="1" applyBorder="1" applyAlignment="1">
      <alignment horizontal="right"/>
    </xf>
    <xf numFmtId="0" fontId="22" fillId="0" borderId="10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/>
    </xf>
    <xf numFmtId="0" fontId="22" fillId="4" borderId="19" xfId="0" applyFont="1" applyFill="1" applyBorder="1"/>
    <xf numFmtId="0" fontId="22" fillId="4" borderId="1" xfId="0" applyFont="1" applyFill="1" applyBorder="1" applyAlignment="1">
      <alignment horizontal="center"/>
    </xf>
    <xf numFmtId="0" fontId="22" fillId="4" borderId="35" xfId="0" applyFont="1" applyFill="1" applyBorder="1" applyAlignment="1">
      <alignment horizontal="center"/>
    </xf>
    <xf numFmtId="0" fontId="22" fillId="2" borderId="1" xfId="0" applyFont="1" applyFill="1" applyBorder="1"/>
    <xf numFmtId="0" fontId="3" fillId="0" borderId="0" xfId="0" applyFont="1"/>
    <xf numFmtId="3" fontId="19" fillId="8" borderId="41" xfId="0" applyNumberFormat="1" applyFont="1" applyFill="1" applyBorder="1" applyAlignment="1">
      <alignment vertical="center"/>
    </xf>
    <xf numFmtId="0" fontId="20" fillId="8" borderId="44" xfId="0" applyFont="1" applyFill="1" applyBorder="1" applyAlignment="1">
      <alignment horizontal="center" vertical="center"/>
    </xf>
    <xf numFmtId="3" fontId="16" fillId="2" borderId="0" xfId="1" applyNumberFormat="1" applyFont="1" applyFill="1"/>
    <xf numFmtId="3" fontId="16" fillId="7" borderId="12" xfId="1" applyNumberFormat="1" applyFont="1" applyFill="1" applyBorder="1"/>
    <xf numFmtId="49" fontId="21" fillId="0" borderId="15" xfId="0" applyNumberFormat="1" applyFont="1" applyBorder="1"/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2" fillId="10" borderId="0" xfId="0" applyFont="1" applyFill="1" applyBorder="1" applyAlignment="1">
      <alignment vertical="center"/>
    </xf>
    <xf numFmtId="0" fontId="21" fillId="10" borderId="0" xfId="0" applyFont="1" applyFill="1" applyBorder="1" applyAlignment="1">
      <alignment vertical="center"/>
    </xf>
    <xf numFmtId="0" fontId="6" fillId="10" borderId="0" xfId="0" applyFont="1" applyFill="1" applyBorder="1" applyAlignment="1">
      <alignment vertical="center"/>
    </xf>
    <xf numFmtId="0" fontId="24" fillId="10" borderId="0" xfId="0" applyFont="1" applyFill="1"/>
    <xf numFmtId="0" fontId="24" fillId="0" borderId="24" xfId="0" applyFont="1" applyBorder="1"/>
    <xf numFmtId="0" fontId="24" fillId="2" borderId="24" xfId="0" applyFont="1" applyFill="1" applyBorder="1"/>
    <xf numFmtId="3" fontId="16" fillId="0" borderId="43" xfId="1" applyNumberFormat="1" applyFont="1" applyBorder="1"/>
    <xf numFmtId="0" fontId="21" fillId="9" borderId="13" xfId="0" applyFont="1" applyFill="1" applyBorder="1"/>
    <xf numFmtId="0" fontId="22" fillId="9" borderId="19" xfId="0" applyFont="1" applyFill="1" applyBorder="1"/>
    <xf numFmtId="3" fontId="22" fillId="7" borderId="1" xfId="1" applyNumberFormat="1" applyFont="1" applyFill="1" applyBorder="1" applyAlignment="1">
      <alignment horizontal="right" vertical="center"/>
    </xf>
    <xf numFmtId="0" fontId="20" fillId="4" borderId="19" xfId="0" applyFont="1" applyFill="1" applyBorder="1" applyAlignment="1">
      <alignment horizontal="right"/>
    </xf>
    <xf numFmtId="3" fontId="22" fillId="9" borderId="1" xfId="1" applyNumberFormat="1" applyFont="1" applyFill="1" applyBorder="1" applyAlignment="1">
      <alignment horizontal="center" vertical="center"/>
    </xf>
    <xf numFmtId="3" fontId="16" fillId="2" borderId="32" xfId="1" applyNumberFormat="1" applyFont="1" applyFill="1" applyBorder="1" applyAlignment="1">
      <alignment horizontal="right"/>
    </xf>
    <xf numFmtId="0" fontId="16" fillId="10" borderId="0" xfId="0" applyFont="1" applyFill="1"/>
    <xf numFmtId="0" fontId="21" fillId="10" borderId="0" xfId="0" applyFont="1" applyFill="1" applyBorder="1" applyAlignment="1">
      <alignment horizontal="center" vertical="center"/>
    </xf>
    <xf numFmtId="0" fontId="22" fillId="10" borderId="0" xfId="0" applyFont="1" applyFill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3" fontId="20" fillId="4" borderId="1" xfId="0" applyNumberFormat="1" applyFont="1" applyFill="1" applyBorder="1" applyAlignment="1">
      <alignment vertical="center"/>
    </xf>
    <xf numFmtId="3" fontId="37" fillId="0" borderId="0" xfId="0" applyNumberFormat="1" applyFont="1" applyAlignment="1">
      <alignment vertical="center"/>
    </xf>
    <xf numFmtId="0" fontId="22" fillId="9" borderId="19" xfId="0" applyFont="1" applyFill="1" applyBorder="1" applyAlignment="1">
      <alignment horizontal="center"/>
    </xf>
    <xf numFmtId="3" fontId="16" fillId="2" borderId="33" xfId="1" applyNumberFormat="1" applyFont="1" applyFill="1" applyBorder="1" applyAlignment="1">
      <alignment horizontal="right"/>
    </xf>
    <xf numFmtId="3" fontId="16" fillId="2" borderId="7" xfId="1" applyNumberFormat="1" applyFont="1" applyFill="1" applyBorder="1" applyAlignment="1">
      <alignment horizontal="right"/>
    </xf>
    <xf numFmtId="0" fontId="22" fillId="2" borderId="42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right" vertical="center"/>
    </xf>
    <xf numFmtId="0" fontId="43" fillId="0" borderId="0" xfId="0" applyFont="1"/>
    <xf numFmtId="3" fontId="21" fillId="0" borderId="9" xfId="1" applyNumberFormat="1" applyFont="1" applyFill="1" applyBorder="1" applyAlignment="1">
      <alignment horizontal="right" vertical="center"/>
    </xf>
    <xf numFmtId="3" fontId="20" fillId="0" borderId="1" xfId="1" applyNumberFormat="1" applyFont="1" applyBorder="1" applyAlignment="1" applyProtection="1">
      <alignment horizontal="center" vertical="center"/>
      <protection locked="0"/>
    </xf>
    <xf numFmtId="3" fontId="20" fillId="0" borderId="1" xfId="0" applyNumberFormat="1" applyFont="1" applyBorder="1" applyAlignment="1">
      <alignment vertical="center"/>
    </xf>
    <xf numFmtId="3" fontId="20" fillId="0" borderId="1" xfId="0" applyNumberFormat="1" applyFont="1" applyBorder="1" applyAlignment="1">
      <alignment horizontal="center" vertical="center"/>
    </xf>
    <xf numFmtId="3" fontId="20" fillId="4" borderId="1" xfId="1" applyNumberFormat="1" applyFont="1" applyFill="1" applyBorder="1" applyAlignment="1">
      <alignment horizontal="center" vertical="center"/>
    </xf>
    <xf numFmtId="3" fontId="44" fillId="7" borderId="11" xfId="1" applyNumberFormat="1" applyFont="1" applyFill="1" applyBorder="1" applyAlignment="1">
      <alignment vertical="center"/>
    </xf>
    <xf numFmtId="3" fontId="21" fillId="7" borderId="11" xfId="1" applyNumberFormat="1" applyFont="1" applyFill="1" applyBorder="1" applyAlignment="1">
      <alignment vertical="center"/>
    </xf>
    <xf numFmtId="0" fontId="0" fillId="2" borderId="35" xfId="0" applyFill="1" applyBorder="1"/>
    <xf numFmtId="3" fontId="19" fillId="0" borderId="0" xfId="0" applyNumberFormat="1" applyFont="1" applyFill="1" applyBorder="1" applyAlignment="1">
      <alignment vertical="center"/>
    </xf>
    <xf numFmtId="3" fontId="20" fillId="0" borderId="0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/>
    </xf>
    <xf numFmtId="3" fontId="0" fillId="2" borderId="0" xfId="0" applyNumberFormat="1" applyFill="1"/>
    <xf numFmtId="9" fontId="0" fillId="0" borderId="0" xfId="0" applyNumberFormat="1"/>
    <xf numFmtId="9" fontId="0" fillId="0" borderId="0" xfId="0" applyNumberFormat="1" applyFill="1"/>
    <xf numFmtId="168" fontId="0" fillId="0" borderId="0" xfId="0" applyNumberFormat="1" applyFill="1"/>
    <xf numFmtId="9" fontId="0" fillId="11" borderId="0" xfId="0" applyNumberFormat="1" applyFill="1" applyAlignment="1">
      <alignment horizontal="left"/>
    </xf>
    <xf numFmtId="3" fontId="0" fillId="2" borderId="1" xfId="0" applyNumberFormat="1" applyFill="1" applyBorder="1"/>
    <xf numFmtId="168" fontId="0" fillId="2" borderId="1" xfId="0" applyNumberFormat="1" applyFill="1" applyBorder="1"/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8" fontId="3" fillId="2" borderId="24" xfId="0" applyNumberFormat="1" applyFont="1" applyFill="1" applyBorder="1"/>
    <xf numFmtId="3" fontId="3" fillId="2" borderId="24" xfId="0" applyNumberFormat="1" applyFont="1" applyFill="1" applyBorder="1"/>
    <xf numFmtId="3" fontId="3" fillId="2" borderId="1" xfId="0" applyNumberFormat="1" applyFont="1" applyFill="1" applyBorder="1"/>
    <xf numFmtId="3" fontId="3" fillId="0" borderId="0" xfId="0" applyNumberFormat="1" applyFont="1" applyFill="1" applyBorder="1"/>
    <xf numFmtId="3" fontId="0" fillId="0" borderId="0" xfId="0" applyNumberFormat="1" applyFill="1" applyBorder="1"/>
    <xf numFmtId="168" fontId="0" fillId="0" borderId="0" xfId="0" applyNumberFormat="1" applyFill="1" applyBorder="1"/>
    <xf numFmtId="168" fontId="3" fillId="0" borderId="0" xfId="0" applyNumberFormat="1" applyFont="1" applyFill="1" applyBorder="1"/>
    <xf numFmtId="9" fontId="0" fillId="0" borderId="0" xfId="0" applyNumberFormat="1" applyFill="1" applyBorder="1"/>
    <xf numFmtId="0" fontId="0" fillId="0" borderId="0" xfId="0" applyFill="1" applyBorder="1"/>
    <xf numFmtId="0" fontId="0" fillId="0" borderId="0" xfId="0" applyFill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3" fontId="21" fillId="7" borderId="9" xfId="1" applyNumberFormat="1" applyFont="1" applyFill="1" applyBorder="1" applyAlignment="1">
      <alignment horizontal="right" vertical="center"/>
    </xf>
    <xf numFmtId="0" fontId="6" fillId="0" borderId="0" xfId="0" applyFont="1" applyAlignment="1"/>
    <xf numFmtId="0" fontId="3" fillId="12" borderId="34" xfId="0" applyFont="1" applyFill="1" applyBorder="1"/>
    <xf numFmtId="0" fontId="0" fillId="12" borderId="49" xfId="0" applyFill="1" applyBorder="1"/>
    <xf numFmtId="0" fontId="0" fillId="12" borderId="16" xfId="0" applyFill="1" applyBorder="1"/>
    <xf numFmtId="0" fontId="3" fillId="12" borderId="15" xfId="0" applyFont="1" applyFill="1" applyBorder="1"/>
    <xf numFmtId="0" fontId="0" fillId="12" borderId="0" xfId="0" applyFill="1" applyBorder="1"/>
    <xf numFmtId="0" fontId="0" fillId="12" borderId="40" xfId="0" applyFill="1" applyBorder="1"/>
    <xf numFmtId="0" fontId="3" fillId="12" borderId="20" xfId="0" applyFont="1" applyFill="1" applyBorder="1"/>
    <xf numFmtId="0" fontId="0" fillId="12" borderId="43" xfId="0" applyFill="1" applyBorder="1"/>
    <xf numFmtId="0" fontId="0" fillId="12" borderId="50" xfId="0" applyFill="1" applyBorder="1"/>
    <xf numFmtId="0" fontId="22" fillId="2" borderId="34" xfId="0" applyFont="1" applyFill="1" applyBorder="1"/>
    <xf numFmtId="0" fontId="0" fillId="2" borderId="49" xfId="0" applyFill="1" applyBorder="1"/>
    <xf numFmtId="0" fontId="0" fillId="2" borderId="16" xfId="0" applyFill="1" applyBorder="1"/>
    <xf numFmtId="0" fontId="22" fillId="2" borderId="20" xfId="0" applyFont="1" applyFill="1" applyBorder="1"/>
    <xf numFmtId="0" fontId="3" fillId="2" borderId="43" xfId="0" applyFont="1" applyFill="1" applyBorder="1"/>
    <xf numFmtId="0" fontId="0" fillId="2" borderId="50" xfId="0" applyFill="1" applyBorder="1"/>
    <xf numFmtId="0" fontId="4" fillId="13" borderId="34" xfId="0" applyFont="1" applyFill="1" applyBorder="1"/>
    <xf numFmtId="0" fontId="0" fillId="13" borderId="49" xfId="0" applyFill="1" applyBorder="1"/>
    <xf numFmtId="0" fontId="0" fillId="13" borderId="16" xfId="0" applyFill="1" applyBorder="1"/>
    <xf numFmtId="0" fontId="4" fillId="13" borderId="20" xfId="0" applyFont="1" applyFill="1" applyBorder="1"/>
    <xf numFmtId="0" fontId="0" fillId="13" borderId="43" xfId="0" applyFill="1" applyBorder="1"/>
    <xf numFmtId="0" fontId="0" fillId="13" borderId="50" xfId="0" applyFill="1" applyBorder="1"/>
    <xf numFmtId="0" fontId="30" fillId="13" borderId="19" xfId="0" applyFont="1" applyFill="1" applyBorder="1" applyAlignment="1">
      <alignment vertical="center"/>
    </xf>
    <xf numFmtId="0" fontId="41" fillId="13" borderId="35" xfId="0" applyFont="1" applyFill="1" applyBorder="1"/>
    <xf numFmtId="0" fontId="41" fillId="13" borderId="13" xfId="0" applyFont="1" applyFill="1" applyBorder="1"/>
    <xf numFmtId="168" fontId="24" fillId="12" borderId="1" xfId="0" applyNumberFormat="1" applyFont="1" applyFill="1" applyBorder="1" applyAlignment="1">
      <alignment horizontal="center"/>
    </xf>
    <xf numFmtId="0" fontId="34" fillId="0" borderId="43" xfId="0" applyFont="1" applyBorder="1" applyAlignment="1">
      <alignment horizontal="center"/>
    </xf>
    <xf numFmtId="0" fontId="24" fillId="12" borderId="49" xfId="0" applyFont="1" applyFill="1" applyBorder="1"/>
    <xf numFmtId="0" fontId="24" fillId="12" borderId="16" xfId="0" applyFont="1" applyFill="1" applyBorder="1"/>
    <xf numFmtId="0" fontId="24" fillId="12" borderId="0" xfId="0" applyFont="1" applyFill="1" applyBorder="1"/>
    <xf numFmtId="0" fontId="24" fillId="12" borderId="40" xfId="0" applyFont="1" applyFill="1" applyBorder="1"/>
    <xf numFmtId="0" fontId="24" fillId="12" borderId="43" xfId="0" applyFont="1" applyFill="1" applyBorder="1"/>
    <xf numFmtId="0" fontId="24" fillId="12" borderId="50" xfId="0" applyFont="1" applyFill="1" applyBorder="1"/>
    <xf numFmtId="0" fontId="22" fillId="8" borderId="1" xfId="0" applyFont="1" applyFill="1" applyBorder="1" applyAlignment="1">
      <alignment horizontal="left"/>
    </xf>
    <xf numFmtId="0" fontId="22" fillId="8" borderId="1" xfId="0" applyFont="1" applyFill="1" applyBorder="1" applyAlignment="1"/>
    <xf numFmtId="0" fontId="34" fillId="0" borderId="0" xfId="0" applyFont="1" applyAlignment="1">
      <alignment vertical="center"/>
    </xf>
    <xf numFmtId="0" fontId="24" fillId="4" borderId="1" xfId="0" applyFont="1" applyFill="1" applyBorder="1" applyAlignment="1">
      <alignment horizontal="right" vertical="center"/>
    </xf>
    <xf numFmtId="0" fontId="47" fillId="0" borderId="0" xfId="0" applyFont="1" applyAlignment="1">
      <alignment vertical="center"/>
    </xf>
    <xf numFmtId="3" fontId="19" fillId="2" borderId="1" xfId="0" applyNumberFormat="1" applyFont="1" applyFill="1" applyBorder="1" applyAlignment="1">
      <alignment vertical="center"/>
    </xf>
    <xf numFmtId="0" fontId="31" fillId="0" borderId="0" xfId="0" applyFont="1" applyBorder="1"/>
    <xf numFmtId="0" fontId="17" fillId="0" borderId="43" xfId="0" applyFont="1" applyFill="1" applyBorder="1" applyAlignment="1">
      <alignment horizontal="center" vertical="center"/>
    </xf>
    <xf numFmtId="0" fontId="31" fillId="0" borderId="0" xfId="0" applyFont="1" applyFill="1" applyBorder="1"/>
    <xf numFmtId="0" fontId="31" fillId="0" borderId="51" xfId="0" applyFont="1" applyBorder="1"/>
    <xf numFmtId="0" fontId="31" fillId="0" borderId="52" xfId="0" applyFont="1" applyBorder="1"/>
    <xf numFmtId="0" fontId="31" fillId="0" borderId="51" xfId="0" applyFont="1" applyFill="1" applyBorder="1"/>
    <xf numFmtId="0" fontId="24" fillId="0" borderId="53" xfId="0" applyFont="1" applyFill="1" applyBorder="1" applyAlignment="1">
      <alignment horizontal="left"/>
    </xf>
    <xf numFmtId="0" fontId="24" fillId="0" borderId="54" xfId="0" applyFont="1" applyFill="1" applyBorder="1"/>
    <xf numFmtId="168" fontId="31" fillId="2" borderId="55" xfId="0" applyNumberFormat="1" applyFont="1" applyFill="1" applyBorder="1"/>
    <xf numFmtId="0" fontId="48" fillId="0" borderId="0" xfId="0" applyFont="1"/>
    <xf numFmtId="0" fontId="3" fillId="9" borderId="1" xfId="0" applyFont="1" applyFill="1" applyBorder="1"/>
    <xf numFmtId="0" fontId="0" fillId="2" borderId="1" xfId="0" applyFill="1" applyBorder="1"/>
    <xf numFmtId="168" fontId="21" fillId="7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3" fontId="19" fillId="2" borderId="56" xfId="1" applyNumberFormat="1" applyFont="1" applyFill="1" applyBorder="1" applyAlignment="1">
      <alignment vertical="center"/>
    </xf>
    <xf numFmtId="3" fontId="19" fillId="2" borderId="9" xfId="1" applyNumberFormat="1" applyFont="1" applyFill="1" applyBorder="1" applyAlignment="1">
      <alignment vertical="center"/>
    </xf>
    <xf numFmtId="0" fontId="24" fillId="0" borderId="0" xfId="0" applyFont="1" applyFill="1" applyBorder="1"/>
    <xf numFmtId="0" fontId="4" fillId="0" borderId="0" xfId="0" applyFont="1" applyFill="1" applyBorder="1"/>
    <xf numFmtId="0" fontId="21" fillId="0" borderId="15" xfId="0" applyFont="1" applyFill="1" applyBorder="1" applyAlignment="1">
      <alignment horizontal="left"/>
    </xf>
    <xf numFmtId="0" fontId="22" fillId="0" borderId="0" xfId="0" applyFont="1" applyFill="1" applyBorder="1"/>
    <xf numFmtId="0" fontId="3" fillId="0" borderId="0" xfId="0" applyFont="1" applyFill="1" applyBorder="1"/>
    <xf numFmtId="0" fontId="20" fillId="3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8" fontId="9" fillId="2" borderId="57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horizontal="right" vertical="center"/>
    </xf>
    <xf numFmtId="0" fontId="22" fillId="0" borderId="43" xfId="0" applyFont="1" applyBorder="1" applyAlignment="1">
      <alignment horizontal="left" vertical="center"/>
    </xf>
    <xf numFmtId="0" fontId="22" fillId="0" borderId="43" xfId="0" applyFont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2" fillId="0" borderId="0" xfId="2" applyAlignment="1" applyProtection="1"/>
    <xf numFmtId="0" fontId="49" fillId="0" borderId="24" xfId="0" applyFont="1" applyBorder="1"/>
    <xf numFmtId="0" fontId="21" fillId="0" borderId="15" xfId="0" applyFont="1" applyBorder="1" applyAlignment="1">
      <alignment horizontal="center"/>
    </xf>
    <xf numFmtId="0" fontId="22" fillId="0" borderId="19" xfId="0" applyFont="1" applyFill="1" applyBorder="1" applyAlignment="1">
      <alignment horizontal="right" vertical="center"/>
    </xf>
    <xf numFmtId="0" fontId="21" fillId="0" borderId="35" xfId="0" applyFont="1" applyFill="1" applyBorder="1" applyAlignment="1">
      <alignment horizontal="left" vertical="center"/>
    </xf>
    <xf numFmtId="170" fontId="24" fillId="0" borderId="24" xfId="0" applyNumberFormat="1" applyFont="1" applyFill="1" applyBorder="1" applyAlignment="1">
      <alignment horizontal="center"/>
    </xf>
    <xf numFmtId="3" fontId="20" fillId="14" borderId="58" xfId="1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>
      <alignment horizontal="left" vertical="center"/>
    </xf>
    <xf numFmtId="3" fontId="24" fillId="0" borderId="35" xfId="1" applyNumberFormat="1" applyFont="1" applyFill="1" applyBorder="1" applyAlignment="1">
      <alignment horizontal="right"/>
    </xf>
    <xf numFmtId="3" fontId="24" fillId="0" borderId="13" xfId="1" applyNumberFormat="1" applyFont="1" applyFill="1" applyBorder="1" applyAlignment="1">
      <alignment horizontal="right"/>
    </xf>
    <xf numFmtId="3" fontId="19" fillId="0" borderId="5" xfId="1" applyNumberFormat="1" applyFont="1" applyFill="1" applyBorder="1" applyAlignment="1" applyProtection="1">
      <alignment horizontal="right" vertical="center"/>
      <protection locked="0"/>
    </xf>
    <xf numFmtId="0" fontId="30" fillId="10" borderId="1" xfId="0" applyFont="1" applyFill="1" applyBorder="1" applyAlignment="1">
      <alignment vertical="center"/>
    </xf>
    <xf numFmtId="0" fontId="46" fillId="10" borderId="1" xfId="0" applyFont="1" applyFill="1" applyBorder="1" applyAlignment="1">
      <alignment vertical="center"/>
    </xf>
    <xf numFmtId="3" fontId="19" fillId="2" borderId="59" xfId="1" applyNumberFormat="1" applyFont="1" applyFill="1" applyBorder="1" applyAlignment="1">
      <alignment vertical="center"/>
    </xf>
    <xf numFmtId="0" fontId="20" fillId="4" borderId="46" xfId="0" applyFont="1" applyFill="1" applyBorder="1" applyAlignment="1">
      <alignment horizontal="center" vertical="center"/>
    </xf>
    <xf numFmtId="3" fontId="20" fillId="7" borderId="60" xfId="1" applyNumberFormat="1" applyFont="1" applyFill="1" applyBorder="1" applyAlignment="1">
      <alignment vertical="center"/>
    </xf>
    <xf numFmtId="3" fontId="20" fillId="4" borderId="36" xfId="1" applyNumberFormat="1" applyFont="1" applyFill="1" applyBorder="1" applyAlignment="1">
      <alignment vertical="center"/>
    </xf>
    <xf numFmtId="3" fontId="19" fillId="2" borderId="11" xfId="1" applyNumberFormat="1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center"/>
    </xf>
    <xf numFmtId="3" fontId="21" fillId="0" borderId="0" xfId="1" applyNumberFormat="1" applyFont="1" applyFill="1" applyBorder="1" applyAlignment="1">
      <alignment horizontal="right"/>
    </xf>
    <xf numFmtId="0" fontId="56" fillId="0" borderId="0" xfId="0" applyFont="1" applyAlignment="1">
      <alignment horizontal="center"/>
    </xf>
    <xf numFmtId="3" fontId="19" fillId="0" borderId="61" xfId="1" applyNumberFormat="1" applyFont="1" applyBorder="1" applyAlignment="1" applyProtection="1">
      <alignment vertical="center"/>
      <protection locked="0"/>
    </xf>
    <xf numFmtId="3" fontId="19" fillId="0" borderId="5" xfId="1" applyNumberFormat="1" applyFont="1" applyBorder="1" applyAlignment="1" applyProtection="1">
      <alignment vertical="center"/>
      <protection locked="0"/>
    </xf>
    <xf numFmtId="3" fontId="19" fillId="0" borderId="5" xfId="0" applyNumberFormat="1" applyFont="1" applyBorder="1" applyAlignment="1" applyProtection="1">
      <alignment vertical="center"/>
      <protection locked="0"/>
    </xf>
    <xf numFmtId="3" fontId="19" fillId="0" borderId="62" xfId="0" applyNumberFormat="1" applyFont="1" applyBorder="1" applyAlignment="1" applyProtection="1">
      <alignment vertical="center"/>
      <protection locked="0"/>
    </xf>
    <xf numFmtId="3" fontId="19" fillId="0" borderId="63" xfId="1" applyNumberFormat="1" applyFont="1" applyBorder="1" applyAlignment="1" applyProtection="1">
      <alignment vertical="center"/>
      <protection locked="0"/>
    </xf>
    <xf numFmtId="3" fontId="19" fillId="0" borderId="64" xfId="0" applyNumberFormat="1" applyFont="1" applyBorder="1" applyAlignment="1" applyProtection="1">
      <alignment vertical="center"/>
      <protection locked="0"/>
    </xf>
    <xf numFmtId="3" fontId="19" fillId="0" borderId="65" xfId="0" applyNumberFormat="1" applyFont="1" applyBorder="1" applyAlignment="1" applyProtection="1">
      <alignment vertical="center"/>
      <protection locked="0"/>
    </xf>
    <xf numFmtId="3" fontId="19" fillId="0" borderId="26" xfId="0" applyNumberFormat="1" applyFont="1" applyBorder="1" applyAlignment="1" applyProtection="1">
      <alignment vertical="center"/>
      <protection locked="0"/>
    </xf>
    <xf numFmtId="3" fontId="19" fillId="0" borderId="66" xfId="1" applyNumberFormat="1" applyFont="1" applyBorder="1" applyAlignment="1" applyProtection="1">
      <alignment vertical="center"/>
      <protection locked="0"/>
    </xf>
    <xf numFmtId="3" fontId="19" fillId="0" borderId="50" xfId="0" applyNumberFormat="1" applyFont="1" applyBorder="1" applyAlignment="1" applyProtection="1">
      <alignment vertical="center"/>
      <protection locked="0"/>
    </xf>
    <xf numFmtId="3" fontId="19" fillId="0" borderId="62" xfId="1" applyNumberFormat="1" applyFont="1" applyBorder="1" applyAlignment="1" applyProtection="1">
      <alignment vertical="center"/>
      <protection locked="0"/>
    </xf>
    <xf numFmtId="3" fontId="19" fillId="0" borderId="67" xfId="0" applyNumberFormat="1" applyFont="1" applyBorder="1" applyAlignment="1" applyProtection="1">
      <alignment vertical="center"/>
      <protection locked="0"/>
    </xf>
    <xf numFmtId="3" fontId="19" fillId="0" borderId="68" xfId="0" applyNumberFormat="1" applyFont="1" applyBorder="1" applyAlignment="1" applyProtection="1">
      <alignment vertical="center"/>
      <protection locked="0"/>
    </xf>
    <xf numFmtId="0" fontId="19" fillId="0" borderId="23" xfId="0" applyFont="1" applyBorder="1" applyAlignment="1" applyProtection="1">
      <alignment vertical="center"/>
      <protection locked="0"/>
    </xf>
    <xf numFmtId="0" fontId="19" fillId="0" borderId="8" xfId="0" applyFont="1" applyBorder="1" applyAlignment="1" applyProtection="1">
      <alignment vertical="center"/>
      <protection locked="0"/>
    </xf>
    <xf numFmtId="0" fontId="19" fillId="0" borderId="30" xfId="0" applyFont="1" applyBorder="1" applyAlignment="1" applyProtection="1">
      <alignment vertical="center"/>
      <protection locked="0"/>
    </xf>
    <xf numFmtId="0" fontId="19" fillId="0" borderId="47" xfId="0" applyFont="1" applyBorder="1" applyAlignment="1" applyProtection="1">
      <alignment vertical="center"/>
      <protection locked="0"/>
    </xf>
    <xf numFmtId="0" fontId="19" fillId="0" borderId="15" xfId="0" applyFont="1" applyBorder="1" applyAlignment="1" applyProtection="1">
      <alignment vertical="center"/>
      <protection locked="0"/>
    </xf>
    <xf numFmtId="3" fontId="21" fillId="0" borderId="9" xfId="1" applyNumberFormat="1" applyFont="1" applyBorder="1" applyAlignment="1" applyProtection="1">
      <alignment horizontal="right" vertical="center"/>
      <protection locked="0"/>
    </xf>
    <xf numFmtId="0" fontId="21" fillId="0" borderId="8" xfId="0" applyFont="1" applyBorder="1" applyAlignment="1" applyProtection="1">
      <alignment horizontal="left" vertical="center"/>
      <protection locked="0"/>
    </xf>
    <xf numFmtId="0" fontId="16" fillId="0" borderId="15" xfId="0" applyFont="1" applyBorder="1" applyProtection="1">
      <protection locked="0"/>
    </xf>
    <xf numFmtId="0" fontId="20" fillId="0" borderId="5" xfId="0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9" fillId="0" borderId="5" xfId="0" applyFont="1" applyBorder="1" applyAlignment="1" applyProtection="1">
      <alignment vertical="center"/>
      <protection locked="0"/>
    </xf>
    <xf numFmtId="3" fontId="11" fillId="0" borderId="24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Protection="1">
      <protection locked="0"/>
    </xf>
    <xf numFmtId="0" fontId="20" fillId="12" borderId="0" xfId="0" applyFont="1" applyFill="1" applyAlignment="1" applyProtection="1">
      <alignment vertical="center"/>
    </xf>
    <xf numFmtId="0" fontId="11" fillId="12" borderId="0" xfId="0" applyFont="1" applyFill="1" applyAlignment="1" applyProtection="1">
      <alignment vertical="center"/>
    </xf>
    <xf numFmtId="3" fontId="19" fillId="2" borderId="5" xfId="1" applyNumberFormat="1" applyFont="1" applyFill="1" applyBorder="1" applyAlignment="1" applyProtection="1">
      <alignment horizontal="right" vertical="center"/>
    </xf>
    <xf numFmtId="0" fontId="19" fillId="0" borderId="5" xfId="0" applyFont="1" applyFill="1" applyBorder="1" applyAlignment="1" applyProtection="1">
      <alignment vertical="center"/>
      <protection locked="0"/>
    </xf>
    <xf numFmtId="0" fontId="19" fillId="0" borderId="5" xfId="0" applyFont="1" applyFill="1" applyBorder="1" applyProtection="1">
      <protection locked="0"/>
    </xf>
    <xf numFmtId="0" fontId="1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3" fontId="16" fillId="0" borderId="0" xfId="1" applyNumberFormat="1" applyFont="1" applyAlignment="1" applyProtection="1">
      <alignment horizontal="right" vertical="center"/>
    </xf>
    <xf numFmtId="3" fontId="16" fillId="0" borderId="0" xfId="1" applyNumberFormat="1" applyFont="1" applyAlignment="1" applyProtection="1">
      <alignment horizontal="left" vertical="center"/>
    </xf>
    <xf numFmtId="0" fontId="18" fillId="0" borderId="0" xfId="0" applyFont="1" applyAlignment="1" applyProtection="1">
      <alignment horizontal="center"/>
    </xf>
    <xf numFmtId="0" fontId="45" fillId="0" borderId="0" xfId="0" applyFont="1" applyAlignment="1" applyProtection="1">
      <alignment horizontal="center"/>
    </xf>
    <xf numFmtId="3" fontId="20" fillId="0" borderId="0" xfId="1" applyNumberFormat="1" applyFont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0" fillId="3" borderId="5" xfId="0" applyFont="1" applyFill="1" applyBorder="1" applyAlignment="1" applyProtection="1">
      <alignment vertical="center"/>
    </xf>
    <xf numFmtId="3" fontId="19" fillId="3" borderId="5" xfId="1" applyNumberFormat="1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9" fillId="12" borderId="0" xfId="0" applyFont="1" applyFill="1" applyAlignment="1" applyProtection="1">
      <alignment vertical="center"/>
    </xf>
    <xf numFmtId="3" fontId="19" fillId="15" borderId="5" xfId="1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 applyProtection="1">
      <alignment vertical="center"/>
    </xf>
    <xf numFmtId="0" fontId="20" fillId="3" borderId="62" xfId="0" applyFont="1" applyFill="1" applyBorder="1" applyAlignment="1" applyProtection="1">
      <alignment vertical="center"/>
    </xf>
    <xf numFmtId="3" fontId="19" fillId="3" borderId="62" xfId="1" applyNumberFormat="1" applyFont="1" applyFill="1" applyBorder="1" applyAlignment="1" applyProtection="1">
      <alignment horizontal="right" vertical="center"/>
    </xf>
    <xf numFmtId="3" fontId="19" fillId="7" borderId="5" xfId="1" applyNumberFormat="1" applyFont="1" applyFill="1" applyBorder="1" applyAlignment="1" applyProtection="1">
      <alignment horizontal="right" vertical="center"/>
    </xf>
    <xf numFmtId="0" fontId="17" fillId="4" borderId="5" xfId="0" applyFont="1" applyFill="1" applyBorder="1" applyAlignment="1" applyProtection="1">
      <alignment horizontal="center" vertical="center"/>
    </xf>
    <xf numFmtId="3" fontId="17" fillId="4" borderId="5" xfId="1" applyNumberFormat="1" applyFont="1" applyFill="1" applyBorder="1" applyAlignment="1" applyProtection="1">
      <alignment horizontal="right" vertical="center"/>
    </xf>
    <xf numFmtId="3" fontId="11" fillId="0" borderId="0" xfId="1" applyNumberFormat="1" applyFont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/>
    </xf>
    <xf numFmtId="0" fontId="19" fillId="0" borderId="1" xfId="0" applyFont="1" applyBorder="1" applyAlignment="1" applyProtection="1">
      <alignment vertical="center"/>
      <protection locked="0"/>
    </xf>
    <xf numFmtId="168" fontId="16" fillId="0" borderId="1" xfId="5" applyNumberFormat="1" applyFont="1" applyBorder="1" applyAlignment="1" applyProtection="1">
      <alignment vertical="center"/>
      <protection locked="0"/>
    </xf>
    <xf numFmtId="3" fontId="19" fillId="0" borderId="1" xfId="0" applyNumberFormat="1" applyFont="1" applyFill="1" applyBorder="1" applyAlignment="1" applyProtection="1">
      <alignment vertical="center"/>
      <protection locked="0"/>
    </xf>
    <xf numFmtId="3" fontId="19" fillId="0" borderId="19" xfId="3" applyNumberFormat="1" applyFont="1" applyBorder="1" applyProtection="1">
      <protection locked="0"/>
    </xf>
    <xf numFmtId="3" fontId="19" fillId="0" borderId="4" xfId="3" applyNumberFormat="1" applyFont="1" applyBorder="1" applyProtection="1">
      <protection locked="0"/>
    </xf>
    <xf numFmtId="3" fontId="19" fillId="0" borderId="35" xfId="3" applyNumberFormat="1" applyFont="1" applyBorder="1" applyProtection="1">
      <protection locked="0"/>
    </xf>
    <xf numFmtId="3" fontId="19" fillId="0" borderId="13" xfId="3" applyNumberFormat="1" applyFont="1" applyBorder="1" applyProtection="1">
      <protection locked="0"/>
    </xf>
    <xf numFmtId="3" fontId="19" fillId="0" borderId="1" xfId="3" applyNumberFormat="1" applyFont="1" applyBorder="1" applyProtection="1">
      <protection locked="0"/>
    </xf>
    <xf numFmtId="3" fontId="19" fillId="0" borderId="0" xfId="3" applyNumberFormat="1" applyFont="1" applyBorder="1" applyProtection="1">
      <protection locked="0"/>
    </xf>
    <xf numFmtId="0" fontId="11" fillId="0" borderId="0" xfId="0" applyFont="1" applyProtection="1">
      <protection locked="0"/>
    </xf>
    <xf numFmtId="0" fontId="21" fillId="0" borderId="10" xfId="0" applyFont="1" applyBorder="1" applyAlignment="1" applyProtection="1">
      <alignment horizontal="left" vertical="center"/>
      <protection locked="0"/>
    </xf>
    <xf numFmtId="3" fontId="21" fillId="0" borderId="11" xfId="1" applyNumberFormat="1" applyFont="1" applyBorder="1" applyAlignment="1" applyProtection="1">
      <alignment horizontal="right" vertical="center"/>
      <protection locked="0"/>
    </xf>
    <xf numFmtId="0" fontId="21" fillId="0" borderId="6" xfId="0" applyFont="1" applyFill="1" applyBorder="1" applyAlignment="1" applyProtection="1">
      <alignment horizontal="left" vertical="center"/>
      <protection locked="0"/>
    </xf>
    <xf numFmtId="0" fontId="21" fillId="0" borderId="12" xfId="0" applyFont="1" applyFill="1" applyBorder="1" applyAlignment="1" applyProtection="1">
      <alignment horizontal="left" vertical="center"/>
      <protection locked="0"/>
    </xf>
    <xf numFmtId="3" fontId="21" fillId="0" borderId="11" xfId="1" applyNumberFormat="1" applyFont="1" applyFill="1" applyBorder="1" applyAlignment="1" applyProtection="1">
      <alignment horizontal="right" vertical="center"/>
      <protection locked="0"/>
    </xf>
    <xf numFmtId="168" fontId="21" fillId="0" borderId="10" xfId="0" applyNumberFormat="1" applyFont="1" applyFill="1" applyBorder="1" applyAlignment="1" applyProtection="1">
      <alignment horizontal="left" vertical="center"/>
      <protection locked="0"/>
    </xf>
    <xf numFmtId="3" fontId="16" fillId="0" borderId="11" xfId="1" applyNumberFormat="1" applyFont="1" applyBorder="1" applyAlignment="1" applyProtection="1">
      <alignment horizontal="right"/>
      <protection locked="0"/>
    </xf>
    <xf numFmtId="3" fontId="16" fillId="0" borderId="9" xfId="1" applyNumberFormat="1" applyFont="1" applyBorder="1" applyAlignment="1" applyProtection="1">
      <alignment horizontal="right"/>
      <protection locked="0"/>
    </xf>
    <xf numFmtId="0" fontId="21" fillId="0" borderId="30" xfId="0" applyFont="1" applyBorder="1" applyAlignment="1" applyProtection="1">
      <alignment horizontal="left" vertical="center"/>
      <protection locked="0"/>
    </xf>
    <xf numFmtId="0" fontId="21" fillId="0" borderId="31" xfId="0" applyFont="1" applyBorder="1" applyAlignment="1" applyProtection="1">
      <alignment horizontal="left" vertical="center"/>
      <protection locked="0"/>
    </xf>
    <xf numFmtId="3" fontId="16" fillId="0" borderId="11" xfId="1" applyNumberFormat="1" applyFont="1" applyFill="1" applyBorder="1" applyAlignment="1" applyProtection="1">
      <alignment horizontal="right"/>
      <protection locked="0"/>
    </xf>
    <xf numFmtId="0" fontId="21" fillId="0" borderId="8" xfId="0" applyFont="1" applyBorder="1" applyAlignment="1" applyProtection="1">
      <alignment horizontal="left" vertical="center"/>
    </xf>
    <xf numFmtId="0" fontId="21" fillId="0" borderId="30" xfId="0" applyFont="1" applyBorder="1" applyAlignment="1" applyProtection="1">
      <alignment horizontal="left" vertical="center"/>
    </xf>
    <xf numFmtId="0" fontId="21" fillId="0" borderId="15" xfId="0" applyFont="1" applyBorder="1" applyAlignment="1" applyProtection="1">
      <alignment horizontal="left" vertical="center"/>
      <protection locked="0"/>
    </xf>
    <xf numFmtId="3" fontId="16" fillId="0" borderId="4" xfId="1" applyNumberFormat="1" applyFont="1" applyBorder="1" applyAlignment="1" applyProtection="1">
      <alignment horizontal="right"/>
      <protection locked="0"/>
    </xf>
    <xf numFmtId="0" fontId="21" fillId="0" borderId="22" xfId="0" applyFont="1" applyBorder="1" applyAlignment="1" applyProtection="1">
      <alignment horizontal="left" vertical="center"/>
      <protection locked="0"/>
    </xf>
    <xf numFmtId="3" fontId="16" fillId="0" borderId="69" xfId="1" applyNumberFormat="1" applyFont="1" applyBorder="1" applyAlignment="1" applyProtection="1">
      <alignment horizontal="right"/>
      <protection locked="0"/>
    </xf>
    <xf numFmtId="3" fontId="16" fillId="0" borderId="32" xfId="1" applyNumberFormat="1" applyFont="1" applyBorder="1" applyAlignment="1" applyProtection="1">
      <alignment horizontal="right"/>
      <protection locked="0"/>
    </xf>
    <xf numFmtId="3" fontId="16" fillId="0" borderId="33" xfId="1" applyNumberFormat="1" applyFont="1" applyBorder="1" applyAlignment="1" applyProtection="1">
      <alignment horizontal="right"/>
      <protection locked="0"/>
    </xf>
    <xf numFmtId="168" fontId="21" fillId="0" borderId="1" xfId="0" applyNumberFormat="1" applyFont="1" applyFill="1" applyBorder="1" applyAlignment="1" applyProtection="1">
      <alignment horizontal="center"/>
      <protection locked="0"/>
    </xf>
    <xf numFmtId="10" fontId="19" fillId="0" borderId="1" xfId="5" applyNumberFormat="1" applyFont="1" applyBorder="1" applyAlignment="1" applyProtection="1">
      <alignment vertical="center"/>
      <protection locked="0"/>
    </xf>
    <xf numFmtId="0" fontId="20" fillId="3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3" fontId="0" fillId="0" borderId="1" xfId="0" applyNumberFormat="1" applyFill="1" applyBorder="1" applyProtection="1">
      <protection locked="0"/>
    </xf>
    <xf numFmtId="3" fontId="3" fillId="0" borderId="0" xfId="0" applyNumberFormat="1" applyFon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1" xfId="0" applyNumberFormat="1" applyBorder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4" fontId="3" fillId="0" borderId="1" xfId="0" applyNumberFormat="1" applyFont="1" applyBorder="1" applyProtection="1">
      <protection locked="0"/>
    </xf>
    <xf numFmtId="9" fontId="31" fillId="0" borderId="1" xfId="5" applyFont="1" applyBorder="1" applyProtection="1">
      <protection locked="0"/>
    </xf>
    <xf numFmtId="9" fontId="31" fillId="0" borderId="1" xfId="0" applyNumberFormat="1" applyFont="1" applyBorder="1" applyProtection="1"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3" fontId="21" fillId="0" borderId="12" xfId="0" applyNumberFormat="1" applyFont="1" applyBorder="1" applyAlignment="1" applyProtection="1">
      <alignment horizontal="right" vertical="center"/>
      <protection locked="0"/>
    </xf>
    <xf numFmtId="3" fontId="21" fillId="0" borderId="28" xfId="0" applyNumberFormat="1" applyFont="1" applyBorder="1" applyAlignment="1" applyProtection="1">
      <alignment horizontal="right" vertical="center"/>
      <protection locked="0"/>
    </xf>
    <xf numFmtId="3" fontId="21" fillId="0" borderId="14" xfId="0" applyNumberFormat="1" applyFont="1" applyBorder="1" applyAlignment="1" applyProtection="1">
      <alignment horizontal="right" vertical="center"/>
      <protection locked="0"/>
    </xf>
    <xf numFmtId="0" fontId="21" fillId="0" borderId="22" xfId="0" applyFont="1" applyFill="1" applyBorder="1" applyAlignment="1" applyProtection="1">
      <alignment horizontal="left" vertical="center"/>
      <protection locked="0"/>
    </xf>
    <xf numFmtId="0" fontId="21" fillId="0" borderId="15" xfId="0" applyFont="1" applyFill="1" applyBorder="1" applyAlignment="1" applyProtection="1">
      <alignment horizontal="left" vertical="center"/>
      <protection locked="0"/>
    </xf>
    <xf numFmtId="3" fontId="21" fillId="0" borderId="3" xfId="0" applyNumberFormat="1" applyFont="1" applyBorder="1" applyAlignment="1" applyProtection="1">
      <alignment horizontal="right" vertical="center"/>
      <protection locked="0"/>
    </xf>
    <xf numFmtId="10" fontId="16" fillId="0" borderId="12" xfId="0" applyNumberFormat="1" applyFont="1" applyBorder="1" applyAlignment="1" applyProtection="1">
      <alignment horizontal="left" vertical="center"/>
      <protection locked="0"/>
    </xf>
    <xf numFmtId="10" fontId="16" fillId="0" borderId="10" xfId="0" applyNumberFormat="1" applyFont="1" applyBorder="1" applyAlignment="1" applyProtection="1">
      <alignment horizontal="left" vertical="center"/>
      <protection locked="0"/>
    </xf>
    <xf numFmtId="3" fontId="3" fillId="2" borderId="1" xfId="0" applyNumberFormat="1" applyFont="1" applyFill="1" applyBorder="1" applyProtection="1"/>
    <xf numFmtId="0" fontId="57" fillId="0" borderId="5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24" fillId="0" borderId="0" xfId="0" applyFont="1" applyFill="1" applyBorder="1" applyProtection="1">
      <protection locked="0"/>
    </xf>
    <xf numFmtId="0" fontId="24" fillId="0" borderId="0" xfId="0" applyFont="1" applyProtection="1">
      <protection locked="0"/>
    </xf>
    <xf numFmtId="0" fontId="24" fillId="12" borderId="34" xfId="0" applyFont="1" applyFill="1" applyBorder="1" applyProtection="1">
      <protection locked="0"/>
    </xf>
    <xf numFmtId="0" fontId="24" fillId="12" borderId="15" xfId="0" applyFont="1" applyFill="1" applyBorder="1" applyProtection="1">
      <protection locked="0"/>
    </xf>
    <xf numFmtId="0" fontId="24" fillId="0" borderId="0" xfId="0" applyFont="1" applyFill="1" applyProtection="1">
      <protection locked="0"/>
    </xf>
    <xf numFmtId="0" fontId="24" fillId="12" borderId="20" xfId="0" applyFont="1" applyFill="1" applyBorder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22" fillId="10" borderId="0" xfId="0" applyFont="1" applyFill="1" applyProtection="1"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0" fontId="24" fillId="0" borderId="24" xfId="0" applyFont="1" applyBorder="1" applyProtection="1">
      <protection locked="0"/>
    </xf>
    <xf numFmtId="0" fontId="24" fillId="2" borderId="24" xfId="0" applyFont="1" applyFill="1" applyBorder="1" applyProtection="1">
      <protection locked="0"/>
    </xf>
    <xf numFmtId="0" fontId="50" fillId="0" borderId="0" xfId="2" applyFont="1" applyAlignment="1" applyProtection="1">
      <protection locked="0"/>
    </xf>
    <xf numFmtId="3" fontId="21" fillId="0" borderId="11" xfId="1" applyNumberFormat="1" applyFont="1" applyBorder="1" applyAlignment="1" applyProtection="1">
      <alignment horizontal="right" vertical="center"/>
    </xf>
    <xf numFmtId="0" fontId="22" fillId="0" borderId="70" xfId="0" applyFont="1" applyBorder="1" applyAlignment="1">
      <alignment horizontal="center"/>
    </xf>
    <xf numFmtId="0" fontId="26" fillId="0" borderId="71" xfId="0" applyFont="1" applyBorder="1" applyAlignment="1">
      <alignment horizontal="center"/>
    </xf>
    <xf numFmtId="0" fontId="21" fillId="0" borderId="70" xfId="0" applyFont="1" applyFill="1" applyBorder="1" applyAlignment="1" applyProtection="1">
      <alignment horizontal="center"/>
      <protection locked="0"/>
    </xf>
    <xf numFmtId="167" fontId="21" fillId="2" borderId="71" xfId="4" applyNumberFormat="1" applyFont="1" applyFill="1" applyBorder="1" applyAlignment="1">
      <alignment horizontal="center"/>
    </xf>
    <xf numFmtId="0" fontId="21" fillId="5" borderId="72" xfId="0" applyFont="1" applyFill="1" applyBorder="1" applyAlignment="1">
      <alignment horizontal="center"/>
    </xf>
    <xf numFmtId="0" fontId="21" fillId="5" borderId="73" xfId="0" applyFont="1" applyFill="1" applyBorder="1" applyAlignment="1">
      <alignment horizontal="center"/>
    </xf>
    <xf numFmtId="0" fontId="21" fillId="5" borderId="74" xfId="0" applyFont="1" applyFill="1" applyBorder="1" applyAlignment="1">
      <alignment horizontal="center"/>
    </xf>
    <xf numFmtId="0" fontId="21" fillId="5" borderId="75" xfId="0" applyFont="1" applyFill="1" applyBorder="1" applyAlignment="1">
      <alignment horizontal="center"/>
    </xf>
    <xf numFmtId="3" fontId="21" fillId="0" borderId="74" xfId="0" applyNumberFormat="1" applyFont="1" applyBorder="1" applyAlignment="1">
      <alignment horizontal="center"/>
    </xf>
    <xf numFmtId="3" fontId="21" fillId="2" borderId="75" xfId="1" applyNumberFormat="1" applyFont="1" applyFill="1" applyBorder="1" applyAlignment="1">
      <alignment horizontal="right"/>
    </xf>
    <xf numFmtId="3" fontId="21" fillId="0" borderId="70" xfId="0" applyNumberFormat="1" applyFont="1" applyBorder="1" applyAlignment="1">
      <alignment horizontal="center"/>
    </xf>
    <xf numFmtId="3" fontId="21" fillId="2" borderId="71" xfId="1" applyNumberFormat="1" applyFont="1" applyFill="1" applyBorder="1" applyAlignment="1">
      <alignment horizontal="right"/>
    </xf>
    <xf numFmtId="3" fontId="21" fillId="0" borderId="76" xfId="0" applyNumberFormat="1" applyFont="1" applyBorder="1" applyAlignment="1">
      <alignment horizontal="center"/>
    </xf>
    <xf numFmtId="3" fontId="21" fillId="2" borderId="77" xfId="1" applyNumberFormat="1" applyFont="1" applyFill="1" applyBorder="1" applyAlignment="1">
      <alignment horizontal="right"/>
    </xf>
    <xf numFmtId="3" fontId="21" fillId="2" borderId="55" xfId="1" applyNumberFormat="1" applyFont="1" applyFill="1" applyBorder="1" applyAlignment="1">
      <alignment horizontal="right"/>
    </xf>
    <xf numFmtId="0" fontId="21" fillId="10" borderId="57" xfId="0" applyFont="1" applyFill="1" applyBorder="1"/>
    <xf numFmtId="0" fontId="27" fillId="10" borderId="78" xfId="0" applyFont="1" applyFill="1" applyBorder="1" applyAlignment="1">
      <alignment horizontal="center"/>
    </xf>
    <xf numFmtId="0" fontId="36" fillId="10" borderId="78" xfId="0" applyFont="1" applyFill="1" applyBorder="1"/>
    <xf numFmtId="0" fontId="21" fillId="10" borderId="79" xfId="0" applyFont="1" applyFill="1" applyBorder="1"/>
    <xf numFmtId="0" fontId="22" fillId="0" borderId="71" xfId="0" applyFont="1" applyBorder="1" applyAlignment="1">
      <alignment horizontal="center"/>
    </xf>
    <xf numFmtId="0" fontId="21" fillId="0" borderId="76" xfId="0" applyFont="1" applyFill="1" applyBorder="1" applyAlignment="1" applyProtection="1">
      <alignment horizontal="center"/>
      <protection locked="0"/>
    </xf>
    <xf numFmtId="168" fontId="21" fillId="0" borderId="77" xfId="0" applyNumberFormat="1" applyFont="1" applyFill="1" applyBorder="1" applyAlignment="1" applyProtection="1">
      <alignment horizontal="center"/>
      <protection locked="0"/>
    </xf>
    <xf numFmtId="3" fontId="21" fillId="2" borderId="77" xfId="1" applyNumberFormat="1" applyFont="1" applyFill="1" applyBorder="1" applyAlignment="1">
      <alignment horizontal="center"/>
    </xf>
    <xf numFmtId="3" fontId="21" fillId="2" borderId="55" xfId="1" applyNumberFormat="1" applyFont="1" applyFill="1" applyBorder="1" applyAlignment="1">
      <alignment horizontal="center"/>
    </xf>
    <xf numFmtId="9" fontId="21" fillId="0" borderId="10" xfId="0" applyNumberFormat="1" applyFont="1" applyBorder="1" applyAlignment="1" applyProtection="1">
      <alignment horizontal="left" vertical="center"/>
      <protection locked="0"/>
    </xf>
    <xf numFmtId="171" fontId="0" fillId="16" borderId="1" xfId="0" applyNumberFormat="1" applyFill="1" applyBorder="1"/>
    <xf numFmtId="0" fontId="24" fillId="3" borderId="19" xfId="0" applyFont="1" applyFill="1" applyBorder="1" applyAlignment="1"/>
    <xf numFmtId="0" fontId="24" fillId="4" borderId="19" xfId="0" applyFont="1" applyFill="1" applyBorder="1" applyAlignment="1"/>
    <xf numFmtId="0" fontId="24" fillId="3" borderId="19" xfId="0" applyFont="1" applyFill="1" applyBorder="1" applyAlignment="1">
      <alignment horizontal="right"/>
    </xf>
    <xf numFmtId="14" fontId="53" fillId="0" borderId="1" xfId="0" applyNumberFormat="1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left" vertical="center"/>
    </xf>
    <xf numFmtId="172" fontId="53" fillId="0" borderId="1" xfId="0" applyNumberFormat="1" applyFont="1" applyFill="1" applyBorder="1" applyAlignment="1">
      <alignment horizontal="right" vertical="center"/>
    </xf>
    <xf numFmtId="10" fontId="53" fillId="0" borderId="1" xfId="0" applyNumberFormat="1" applyFont="1" applyFill="1" applyBorder="1" applyAlignment="1">
      <alignment horizontal="right" vertical="center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horizontal="center"/>
    </xf>
    <xf numFmtId="0" fontId="53" fillId="0" borderId="0" xfId="0" applyFont="1" applyAlignment="1">
      <alignment horizontal="left"/>
    </xf>
    <xf numFmtId="0" fontId="53" fillId="0" borderId="0" xfId="0" applyFont="1"/>
    <xf numFmtId="0" fontId="54" fillId="0" borderId="0" xfId="0" applyFont="1" applyBorder="1" applyAlignment="1">
      <alignment horizontal="left" vertical="center"/>
    </xf>
    <xf numFmtId="172" fontId="0" fillId="0" borderId="0" xfId="0" applyNumberFormat="1"/>
    <xf numFmtId="172" fontId="53" fillId="0" borderId="80" xfId="0" applyNumberFormat="1" applyFont="1" applyBorder="1"/>
    <xf numFmtId="172" fontId="53" fillId="0" borderId="81" xfId="0" applyNumberFormat="1" applyFont="1" applyBorder="1"/>
    <xf numFmtId="172" fontId="53" fillId="0" borderId="82" xfId="0" applyNumberFormat="1" applyFont="1" applyBorder="1"/>
    <xf numFmtId="0" fontId="54" fillId="0" borderId="83" xfId="0" applyFont="1" applyBorder="1" applyAlignment="1">
      <alignment horizontal="left"/>
    </xf>
    <xf numFmtId="0" fontId="54" fillId="0" borderId="70" xfId="0" applyFont="1" applyBorder="1" applyAlignment="1">
      <alignment horizontal="left"/>
    </xf>
    <xf numFmtId="0" fontId="54" fillId="0" borderId="76" xfId="0" applyFont="1" applyBorder="1" applyAlignment="1">
      <alignment horizontal="left"/>
    </xf>
    <xf numFmtId="0" fontId="53" fillId="0" borderId="0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172" fontId="54" fillId="0" borderId="0" xfId="0" applyNumberFormat="1" applyFont="1" applyFill="1" applyBorder="1" applyAlignment="1">
      <alignment horizontal="right"/>
    </xf>
    <xf numFmtId="10" fontId="54" fillId="0" borderId="0" xfId="0" applyNumberFormat="1" applyFont="1" applyFill="1" applyBorder="1" applyAlignment="1">
      <alignment horizontal="right"/>
    </xf>
    <xf numFmtId="0" fontId="55" fillId="0" borderId="0" xfId="0" applyFont="1"/>
    <xf numFmtId="0" fontId="55" fillId="0" borderId="0" xfId="0" applyFont="1" applyFill="1" applyBorder="1"/>
    <xf numFmtId="0" fontId="53" fillId="0" borderId="1" xfId="0" applyFont="1" applyFill="1" applyBorder="1" applyAlignment="1">
      <alignment horizontal="left" vertical="center" wrapText="1"/>
    </xf>
    <xf numFmtId="0" fontId="54" fillId="0" borderId="1" xfId="0" applyFont="1" applyBorder="1" applyAlignment="1">
      <alignment horizontal="center" vertical="center" wrapText="1"/>
    </xf>
    <xf numFmtId="0" fontId="54" fillId="0" borderId="84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4" fillId="0" borderId="85" xfId="0" applyFont="1" applyBorder="1" applyAlignment="1">
      <alignment horizontal="center" vertical="center"/>
    </xf>
    <xf numFmtId="0" fontId="54" fillId="0" borderId="51" xfId="0" applyFont="1" applyBorder="1" applyAlignment="1">
      <alignment horizontal="center" vertical="center"/>
    </xf>
    <xf numFmtId="0" fontId="54" fillId="0" borderId="85" xfId="0" applyFont="1" applyBorder="1" applyAlignment="1">
      <alignment horizontal="center" vertical="center" wrapText="1"/>
    </xf>
    <xf numFmtId="0" fontId="54" fillId="0" borderId="52" xfId="0" applyFont="1" applyBorder="1" applyAlignment="1">
      <alignment horizontal="center" vertical="center" wrapText="1"/>
    </xf>
    <xf numFmtId="0" fontId="54" fillId="8" borderId="52" xfId="0" applyFont="1" applyFill="1" applyBorder="1" applyAlignment="1">
      <alignment horizontal="center" vertical="center"/>
    </xf>
    <xf numFmtId="0" fontId="54" fillId="8" borderId="86" xfId="0" applyFont="1" applyFill="1" applyBorder="1" applyAlignment="1">
      <alignment horizontal="center" vertical="center"/>
    </xf>
    <xf numFmtId="0" fontId="54" fillId="8" borderId="87" xfId="0" applyFont="1" applyFill="1" applyBorder="1" applyAlignment="1">
      <alignment horizontal="center"/>
    </xf>
    <xf numFmtId="0" fontId="54" fillId="8" borderId="88" xfId="0" applyFont="1" applyFill="1" applyBorder="1" applyAlignment="1">
      <alignment horizontal="center"/>
    </xf>
    <xf numFmtId="0" fontId="54" fillId="8" borderId="88" xfId="0" applyFont="1" applyFill="1" applyBorder="1" applyAlignment="1">
      <alignment horizontal="left"/>
    </xf>
    <xf numFmtId="0" fontId="54" fillId="8" borderId="54" xfId="0" applyFont="1" applyFill="1" applyBorder="1" applyAlignment="1">
      <alignment horizontal="left"/>
    </xf>
    <xf numFmtId="172" fontId="54" fillId="8" borderId="89" xfId="0" applyNumberFormat="1" applyFont="1" applyFill="1" applyBorder="1" applyAlignment="1">
      <alignment horizontal="right"/>
    </xf>
    <xf numFmtId="172" fontId="54" fillId="8" borderId="90" xfId="0" applyNumberFormat="1" applyFont="1" applyFill="1" applyBorder="1" applyAlignment="1">
      <alignment horizontal="right"/>
    </xf>
    <xf numFmtId="0" fontId="54" fillId="8" borderId="90" xfId="0" applyFont="1" applyFill="1" applyBorder="1" applyAlignment="1">
      <alignment horizontal="center"/>
    </xf>
    <xf numFmtId="0" fontId="2" fillId="0" borderId="1" xfId="2" applyFill="1" applyBorder="1" applyAlignment="1" applyProtection="1"/>
    <xf numFmtId="0" fontId="53" fillId="0" borderId="1" xfId="0" applyFont="1" applyFill="1" applyBorder="1" applyAlignment="1"/>
    <xf numFmtId="0" fontId="55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0" fontId="53" fillId="17" borderId="1" xfId="0" applyNumberFormat="1" applyFont="1" applyFill="1" applyBorder="1" applyAlignment="1">
      <alignment horizontal="right" vertical="center"/>
    </xf>
    <xf numFmtId="0" fontId="54" fillId="0" borderId="0" xfId="0" applyFont="1" applyBorder="1"/>
    <xf numFmtId="10" fontId="59" fillId="0" borderId="0" xfId="0" applyNumberFormat="1" applyFont="1" applyBorder="1"/>
    <xf numFmtId="172" fontId="54" fillId="18" borderId="91" xfId="0" applyNumberFormat="1" applyFont="1" applyFill="1" applyBorder="1" applyAlignment="1">
      <alignment horizontal="right"/>
    </xf>
    <xf numFmtId="10" fontId="54" fillId="18" borderId="71" xfId="0" applyNumberFormat="1" applyFont="1" applyFill="1" applyBorder="1" applyAlignment="1">
      <alignment horizontal="right"/>
    </xf>
    <xf numFmtId="172" fontId="54" fillId="0" borderId="71" xfId="0" applyNumberFormat="1" applyFont="1" applyFill="1" applyBorder="1" applyAlignment="1">
      <alignment horizontal="right"/>
    </xf>
    <xf numFmtId="10" fontId="54" fillId="0" borderId="71" xfId="0" applyNumberFormat="1" applyFont="1" applyFill="1" applyBorder="1" applyAlignment="1">
      <alignment horizontal="right"/>
    </xf>
    <xf numFmtId="172" fontId="60" fillId="19" borderId="71" xfId="0" applyNumberFormat="1" applyFont="1" applyFill="1" applyBorder="1" applyAlignment="1">
      <alignment horizontal="right"/>
    </xf>
    <xf numFmtId="10" fontId="60" fillId="19" borderId="55" xfId="0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0" fontId="55" fillId="0" borderId="0" xfId="0" applyFont="1" applyFill="1"/>
    <xf numFmtId="172" fontId="54" fillId="0" borderId="0" xfId="0" applyNumberFormat="1" applyFont="1" applyFill="1" applyBorder="1" applyAlignment="1">
      <alignment vertical="center"/>
    </xf>
    <xf numFmtId="172" fontId="54" fillId="0" borderId="0" xfId="0" applyNumberFormat="1" applyFont="1" applyFill="1" applyBorder="1" applyAlignment="1">
      <alignment vertical="center" wrapText="1"/>
    </xf>
    <xf numFmtId="172" fontId="53" fillId="0" borderId="0" xfId="0" applyNumberFormat="1" applyFont="1" applyFill="1" applyBorder="1"/>
    <xf numFmtId="172" fontId="53" fillId="0" borderId="18" xfId="0" applyNumberFormat="1" applyFont="1" applyBorder="1"/>
    <xf numFmtId="0" fontId="54" fillId="8" borderId="92" xfId="0" applyFont="1" applyFill="1" applyBorder="1" applyAlignment="1">
      <alignment horizontal="center" vertical="center"/>
    </xf>
    <xf numFmtId="0" fontId="0" fillId="0" borderId="1" xfId="0" applyBorder="1"/>
    <xf numFmtId="0" fontId="54" fillId="8" borderId="1" xfId="0" applyFont="1" applyFill="1" applyBorder="1" applyAlignment="1">
      <alignment horizontal="center" vertical="center"/>
    </xf>
    <xf numFmtId="173" fontId="53" fillId="0" borderId="1" xfId="0" applyNumberFormat="1" applyFont="1" applyFill="1" applyBorder="1" applyAlignment="1">
      <alignment horizontal="right" vertical="center"/>
    </xf>
    <xf numFmtId="0" fontId="53" fillId="0" borderId="1" xfId="0" applyNumberFormat="1" applyFont="1" applyFill="1" applyBorder="1" applyAlignment="1">
      <alignment horizontal="left" vertical="center"/>
    </xf>
    <xf numFmtId="174" fontId="53" fillId="0" borderId="1" xfId="0" applyNumberFormat="1" applyFont="1" applyFill="1" applyBorder="1" applyAlignment="1">
      <alignment horizontal="left" vertical="center" wrapText="1"/>
    </xf>
    <xf numFmtId="3" fontId="53" fillId="0" borderId="1" xfId="0" applyNumberFormat="1" applyFont="1" applyFill="1" applyBorder="1" applyAlignment="1">
      <alignment horizontal="right" vertical="center"/>
    </xf>
    <xf numFmtId="169" fontId="53" fillId="0" borderId="1" xfId="0" applyNumberFormat="1" applyFont="1" applyFill="1" applyBorder="1" applyAlignment="1">
      <alignment horizontal="right" vertical="center"/>
    </xf>
    <xf numFmtId="172" fontId="54" fillId="18" borderId="0" xfId="0" applyNumberFormat="1" applyFont="1" applyFill="1" applyBorder="1" applyAlignment="1">
      <alignment horizontal="right"/>
    </xf>
    <xf numFmtId="10" fontId="54" fillId="18" borderId="0" xfId="0" applyNumberFormat="1" applyFont="1" applyFill="1" applyBorder="1" applyAlignment="1">
      <alignment horizontal="right"/>
    </xf>
    <xf numFmtId="172" fontId="60" fillId="19" borderId="0" xfId="0" applyNumberFormat="1" applyFont="1" applyFill="1" applyBorder="1" applyAlignment="1">
      <alignment horizontal="right"/>
    </xf>
    <xf numFmtId="10" fontId="60" fillId="19" borderId="0" xfId="0" applyNumberFormat="1" applyFont="1" applyFill="1" applyBorder="1" applyAlignment="1">
      <alignment horizontal="right"/>
    </xf>
    <xf numFmtId="0" fontId="2" fillId="0" borderId="40" xfId="2" applyFill="1" applyBorder="1" applyAlignment="1" applyProtection="1"/>
    <xf numFmtId="14" fontId="53" fillId="0" borderId="4" xfId="0" applyNumberFormat="1" applyFont="1" applyFill="1" applyBorder="1" applyAlignment="1">
      <alignment horizontal="center" vertical="center"/>
    </xf>
    <xf numFmtId="0" fontId="53" fillId="0" borderId="4" xfId="0" applyFont="1" applyFill="1" applyBorder="1" applyAlignment="1">
      <alignment horizontal="center" vertical="center"/>
    </xf>
    <xf numFmtId="0" fontId="53" fillId="0" borderId="4" xfId="0" applyFont="1" applyFill="1" applyBorder="1" applyAlignment="1">
      <alignment horizontal="left" vertical="center"/>
    </xf>
    <xf numFmtId="0" fontId="53" fillId="0" borderId="15" xfId="0" applyFont="1" applyFill="1" applyBorder="1" applyAlignment="1">
      <alignment horizontal="left" vertical="center"/>
    </xf>
    <xf numFmtId="0" fontId="53" fillId="0" borderId="15" xfId="0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left" vertical="center"/>
    </xf>
    <xf numFmtId="172" fontId="53" fillId="0" borderId="0" xfId="0" applyNumberFormat="1" applyFont="1" applyFill="1" applyBorder="1" applyAlignment="1">
      <alignment horizontal="right" vertical="center"/>
    </xf>
    <xf numFmtId="10" fontId="53" fillId="0" borderId="0" xfId="0" applyNumberFormat="1" applyFont="1" applyFill="1" applyBorder="1" applyAlignment="1">
      <alignment horizontal="right" vertical="center"/>
    </xf>
    <xf numFmtId="0" fontId="53" fillId="0" borderId="0" xfId="0" applyFont="1" applyFill="1" applyBorder="1" applyAlignment="1"/>
    <xf numFmtId="175" fontId="53" fillId="0" borderId="1" xfId="0" applyNumberFormat="1" applyFont="1" applyFill="1" applyBorder="1" applyAlignment="1">
      <alignment horizontal="left" vertical="center" wrapText="1"/>
    </xf>
    <xf numFmtId="0" fontId="54" fillId="0" borderId="15" xfId="0" applyFont="1" applyBorder="1" applyAlignment="1">
      <alignment horizontal="center" vertical="center" wrapText="1"/>
    </xf>
    <xf numFmtId="176" fontId="16" fillId="2" borderId="14" xfId="4" applyNumberFormat="1" applyFont="1" applyFill="1" applyBorder="1"/>
    <xf numFmtId="176" fontId="24" fillId="3" borderId="1" xfId="4" applyNumberFormat="1" applyFont="1" applyFill="1" applyBorder="1"/>
    <xf numFmtId="176" fontId="16" fillId="0" borderId="0" xfId="4" applyNumberFormat="1" applyFont="1" applyAlignment="1">
      <alignment horizontal="centerContinuous"/>
    </xf>
    <xf numFmtId="176" fontId="16" fillId="0" borderId="0" xfId="4" applyNumberFormat="1" applyFont="1"/>
    <xf numFmtId="176" fontId="16" fillId="0" borderId="4" xfId="4" applyNumberFormat="1" applyFont="1" applyBorder="1"/>
    <xf numFmtId="176" fontId="16" fillId="0" borderId="14" xfId="4" applyNumberFormat="1" applyFont="1" applyBorder="1" applyProtection="1">
      <protection locked="0"/>
    </xf>
    <xf numFmtId="176" fontId="16" fillId="0" borderId="4" xfId="4" applyNumberFormat="1" applyFont="1" applyBorder="1" applyProtection="1">
      <protection locked="0"/>
    </xf>
    <xf numFmtId="176" fontId="16" fillId="7" borderId="14" xfId="4" applyNumberFormat="1" applyFont="1" applyFill="1" applyBorder="1"/>
    <xf numFmtId="176" fontId="16" fillId="7" borderId="4" xfId="4" applyNumberFormat="1" applyFont="1" applyFill="1" applyBorder="1"/>
    <xf numFmtId="176" fontId="24" fillId="0" borderId="0" xfId="4" applyNumberFormat="1" applyFont="1" applyFill="1" applyBorder="1"/>
    <xf numFmtId="176" fontId="16" fillId="0" borderId="43" xfId="4" applyNumberFormat="1" applyFont="1" applyBorder="1"/>
    <xf numFmtId="176" fontId="16" fillId="2" borderId="26" xfId="4" applyNumberFormat="1" applyFont="1" applyFill="1" applyBorder="1"/>
    <xf numFmtId="176" fontId="16" fillId="0" borderId="26" xfId="4" applyNumberFormat="1" applyFont="1" applyBorder="1" applyProtection="1">
      <protection locked="0"/>
    </xf>
    <xf numFmtId="176" fontId="16" fillId="0" borderId="14" xfId="4" applyNumberFormat="1" applyFont="1" applyBorder="1"/>
    <xf numFmtId="176" fontId="24" fillId="4" borderId="1" xfId="4" applyNumberFormat="1" applyFont="1" applyFill="1" applyBorder="1"/>
    <xf numFmtId="176" fontId="16" fillId="2" borderId="0" xfId="4" applyNumberFormat="1" applyFont="1" applyFill="1"/>
    <xf numFmtId="176" fontId="10" fillId="0" borderId="0" xfId="4" applyNumberFormat="1" applyFont="1"/>
    <xf numFmtId="3" fontId="16" fillId="2" borderId="12" xfId="1" applyNumberFormat="1" applyFont="1" applyFill="1" applyBorder="1"/>
    <xf numFmtId="176" fontId="16" fillId="8" borderId="41" xfId="4" applyNumberFormat="1" applyFont="1" applyFill="1" applyBorder="1"/>
    <xf numFmtId="176" fontId="10" fillId="0" borderId="0" xfId="0" applyNumberFormat="1" applyFont="1"/>
    <xf numFmtId="176" fontId="10" fillId="0" borderId="0" xfId="1" applyNumberFormat="1" applyFont="1"/>
    <xf numFmtId="176" fontId="24" fillId="4" borderId="1" xfId="1" applyNumberFormat="1" applyFont="1" applyFill="1" applyBorder="1"/>
    <xf numFmtId="176" fontId="14" fillId="0" borderId="0" xfId="4" applyNumberFormat="1" applyFont="1"/>
    <xf numFmtId="0" fontId="24" fillId="0" borderId="0" xfId="0" applyNumberFormat="1" applyFont="1"/>
    <xf numFmtId="0" fontId="16" fillId="0" borderId="0" xfId="0" applyNumberFormat="1" applyFont="1"/>
    <xf numFmtId="0" fontId="24" fillId="0" borderId="1" xfId="1" applyNumberFormat="1" applyFont="1" applyBorder="1" applyAlignment="1">
      <alignment horizontal="center"/>
    </xf>
    <xf numFmtId="0" fontId="58" fillId="0" borderId="1" xfId="4" applyNumberFormat="1" applyFont="1" applyBorder="1" applyAlignment="1">
      <alignment horizontal="center"/>
    </xf>
    <xf numFmtId="0" fontId="10" fillId="0" borderId="0" xfId="0" applyNumberFormat="1" applyFont="1"/>
    <xf numFmtId="17" fontId="58" fillId="0" borderId="1" xfId="4" applyNumberFormat="1" applyFont="1" applyBorder="1" applyAlignment="1">
      <alignment horizontal="center"/>
    </xf>
    <xf numFmtId="0" fontId="58" fillId="0" borderId="8" xfId="0" applyFont="1" applyBorder="1" applyAlignment="1">
      <alignment horizontal="left" vertical="center"/>
    </xf>
    <xf numFmtId="176" fontId="16" fillId="0" borderId="26" xfId="4" applyNumberFormat="1" applyFont="1" applyBorder="1" applyAlignment="1" applyProtection="1">
      <alignment horizontal="center"/>
      <protection locked="0"/>
    </xf>
    <xf numFmtId="176" fontId="14" fillId="0" borderId="0" xfId="0" applyNumberFormat="1" applyFont="1"/>
    <xf numFmtId="0" fontId="20" fillId="0" borderId="2" xfId="0" applyFont="1" applyBorder="1" applyAlignment="1">
      <alignment horizontal="center" vertical="center" textRotation="90"/>
    </xf>
    <xf numFmtId="0" fontId="20" fillId="0" borderId="4" xfId="0" applyFont="1" applyBorder="1" applyAlignment="1">
      <alignment horizontal="center" vertical="center" textRotation="90"/>
    </xf>
    <xf numFmtId="0" fontId="20" fillId="0" borderId="3" xfId="0" applyFont="1" applyBorder="1" applyAlignment="1">
      <alignment horizontal="center" vertical="center" textRotation="90"/>
    </xf>
    <xf numFmtId="0" fontId="21" fillId="0" borderId="1" xfId="0" applyFont="1" applyBorder="1" applyAlignment="1">
      <alignment horizontal="center" vertical="center" textRotation="90" wrapText="1"/>
    </xf>
    <xf numFmtId="0" fontId="22" fillId="3" borderId="1" xfId="0" applyFont="1" applyFill="1" applyBorder="1" applyAlignment="1">
      <alignment horizontal="right" vertical="center"/>
    </xf>
    <xf numFmtId="0" fontId="21" fillId="0" borderId="2" xfId="0" applyFont="1" applyBorder="1" applyAlignment="1">
      <alignment horizontal="center" vertical="center" textRotation="90" wrapText="1"/>
    </xf>
    <xf numFmtId="0" fontId="21" fillId="0" borderId="4" xfId="0" applyFont="1" applyBorder="1" applyAlignment="1">
      <alignment horizontal="center" vertical="center" textRotation="90" wrapText="1"/>
    </xf>
    <xf numFmtId="0" fontId="21" fillId="0" borderId="3" xfId="0" applyFont="1" applyBorder="1" applyAlignment="1">
      <alignment horizontal="center" vertical="center" textRotation="90" wrapText="1"/>
    </xf>
    <xf numFmtId="0" fontId="22" fillId="3" borderId="35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right" vertical="center"/>
    </xf>
    <xf numFmtId="0" fontId="22" fillId="3" borderId="13" xfId="0" applyFont="1" applyFill="1" applyBorder="1" applyAlignment="1">
      <alignment horizontal="right" vertical="center"/>
    </xf>
    <xf numFmtId="0" fontId="17" fillId="8" borderId="19" xfId="0" applyFont="1" applyFill="1" applyBorder="1" applyAlignment="1">
      <alignment horizontal="center"/>
    </xf>
    <xf numFmtId="0" fontId="17" fillId="8" borderId="35" xfId="0" applyFont="1" applyFill="1" applyBorder="1" applyAlignment="1">
      <alignment horizontal="center"/>
    </xf>
    <xf numFmtId="0" fontId="17" fillId="8" borderId="13" xfId="0" applyFont="1" applyFill="1" applyBorder="1" applyAlignment="1">
      <alignment horizontal="center"/>
    </xf>
    <xf numFmtId="0" fontId="35" fillId="0" borderId="0" xfId="0" applyFont="1" applyAlignment="1" applyProtection="1">
      <alignment horizontal="center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right" vertical="center"/>
    </xf>
    <xf numFmtId="0" fontId="22" fillId="4" borderId="13" xfId="0" applyFont="1" applyFill="1" applyBorder="1" applyAlignment="1">
      <alignment horizontal="right" vertical="center"/>
    </xf>
    <xf numFmtId="0" fontId="35" fillId="0" borderId="0" xfId="0" applyFont="1" applyAlignment="1" applyProtection="1">
      <alignment horizontal="left"/>
    </xf>
    <xf numFmtId="0" fontId="17" fillId="8" borderId="51" xfId="0" applyFont="1" applyFill="1" applyBorder="1" applyAlignment="1" applyProtection="1">
      <alignment horizontal="center" vertical="center"/>
    </xf>
    <xf numFmtId="0" fontId="17" fillId="8" borderId="0" xfId="0" applyFont="1" applyFill="1" applyBorder="1" applyAlignment="1" applyProtection="1">
      <alignment horizontal="center" vertical="center"/>
    </xf>
    <xf numFmtId="0" fontId="17" fillId="8" borderId="51" xfId="0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/>
    </xf>
    <xf numFmtId="3" fontId="20" fillId="0" borderId="19" xfId="1" applyNumberFormat="1" applyFont="1" applyBorder="1" applyAlignment="1" applyProtection="1">
      <alignment horizontal="center" vertical="center"/>
      <protection locked="0"/>
    </xf>
    <xf numFmtId="3" fontId="20" fillId="0" borderId="13" xfId="1" applyNumberFormat="1" applyFont="1" applyBorder="1" applyAlignment="1" applyProtection="1">
      <alignment horizontal="center" vertical="center"/>
      <protection locked="0"/>
    </xf>
    <xf numFmtId="3" fontId="20" fillId="0" borderId="19" xfId="0" applyNumberFormat="1" applyFont="1" applyBorder="1" applyAlignment="1">
      <alignment horizontal="center" vertical="center"/>
    </xf>
    <xf numFmtId="3" fontId="20" fillId="0" borderId="13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7" fillId="8" borderId="44" xfId="0" applyFont="1" applyFill="1" applyBorder="1" applyAlignment="1">
      <alignment horizontal="center" vertical="center"/>
    </xf>
    <xf numFmtId="0" fontId="17" fillId="8" borderId="42" xfId="0" applyFont="1" applyFill="1" applyBorder="1" applyAlignment="1">
      <alignment horizontal="center" vertical="center"/>
    </xf>
    <xf numFmtId="0" fontId="17" fillId="8" borderId="4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3" fontId="20" fillId="0" borderId="1" xfId="1" applyNumberFormat="1" applyFont="1" applyBorder="1" applyAlignment="1">
      <alignment horizontal="center" vertical="center"/>
    </xf>
    <xf numFmtId="3" fontId="20" fillId="0" borderId="2" xfId="1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38" fillId="0" borderId="78" xfId="0" applyFont="1" applyBorder="1" applyAlignment="1">
      <alignment horizontal="center"/>
    </xf>
    <xf numFmtId="0" fontId="20" fillId="8" borderId="44" xfId="0" applyFont="1" applyFill="1" applyBorder="1" applyAlignment="1">
      <alignment horizontal="center"/>
    </xf>
    <xf numFmtId="0" fontId="20" fillId="8" borderId="42" xfId="0" applyFont="1" applyFill="1" applyBorder="1" applyAlignment="1">
      <alignment horizontal="center"/>
    </xf>
    <xf numFmtId="0" fontId="20" fillId="8" borderId="41" xfId="0" applyFont="1" applyFill="1" applyBorder="1" applyAlignment="1">
      <alignment horizontal="center"/>
    </xf>
    <xf numFmtId="0" fontId="20" fillId="8" borderId="19" xfId="0" applyFont="1" applyFill="1" applyBorder="1" applyAlignment="1">
      <alignment horizontal="center"/>
    </xf>
    <xf numFmtId="0" fontId="20" fillId="8" borderId="35" xfId="0" applyFont="1" applyFill="1" applyBorder="1" applyAlignment="1">
      <alignment horizontal="center"/>
    </xf>
    <xf numFmtId="0" fontId="20" fillId="8" borderId="13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2" fillId="3" borderId="93" xfId="0" applyFont="1" applyFill="1" applyBorder="1" applyAlignment="1">
      <alignment horizontal="center" vertical="center"/>
    </xf>
    <xf numFmtId="0" fontId="22" fillId="3" borderId="94" xfId="0" applyFont="1" applyFill="1" applyBorder="1" applyAlignment="1">
      <alignment horizontal="center" vertical="center"/>
    </xf>
    <xf numFmtId="0" fontId="22" fillId="4" borderId="95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/>
    </xf>
    <xf numFmtId="0" fontId="24" fillId="0" borderId="3" xfId="0" applyFont="1" applyBorder="1" applyAlignment="1">
      <alignment vertical="center" textRotation="90" wrapText="1"/>
    </xf>
    <xf numFmtId="0" fontId="24" fillId="0" borderId="1" xfId="0" applyFont="1" applyBorder="1" applyAlignment="1">
      <alignment vertical="center" textRotation="90" wrapText="1"/>
    </xf>
    <xf numFmtId="0" fontId="17" fillId="4" borderId="44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textRotation="90" wrapText="1"/>
    </xf>
    <xf numFmtId="0" fontId="24" fillId="0" borderId="4" xfId="0" applyFont="1" applyBorder="1" applyAlignment="1">
      <alignment horizontal="center" vertical="center" textRotation="90" wrapText="1"/>
    </xf>
    <xf numFmtId="0" fontId="24" fillId="0" borderId="2" xfId="0" applyFont="1" applyBorder="1" applyAlignment="1">
      <alignment horizontal="center" vertical="center" textRotation="90"/>
    </xf>
    <xf numFmtId="0" fontId="24" fillId="0" borderId="4" xfId="0" applyFont="1" applyBorder="1" applyAlignment="1">
      <alignment horizontal="center" vertical="center" textRotation="90"/>
    </xf>
    <xf numFmtId="0" fontId="24" fillId="0" borderId="3" xfId="0" applyFont="1" applyBorder="1" applyAlignment="1">
      <alignment horizontal="center" vertical="center" textRotation="90"/>
    </xf>
    <xf numFmtId="0" fontId="35" fillId="0" borderId="43" xfId="0" applyFont="1" applyBorder="1" applyAlignment="1">
      <alignment horizontal="center"/>
    </xf>
    <xf numFmtId="0" fontId="22" fillId="4" borderId="19" xfId="0" applyFont="1" applyFill="1" applyBorder="1" applyAlignment="1">
      <alignment horizontal="center"/>
    </xf>
    <xf numFmtId="0" fontId="22" fillId="4" borderId="13" xfId="0" applyFont="1" applyFill="1" applyBorder="1" applyAlignment="1">
      <alignment horizontal="center"/>
    </xf>
    <xf numFmtId="0" fontId="17" fillId="8" borderId="19" xfId="0" applyFont="1" applyFill="1" applyBorder="1" applyAlignment="1">
      <alignment horizontal="center" vertical="center"/>
    </xf>
    <xf numFmtId="0" fontId="17" fillId="8" borderId="35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22" fillId="10" borderId="57" xfId="0" applyFont="1" applyFill="1" applyBorder="1" applyAlignment="1">
      <alignment horizontal="center"/>
    </xf>
    <xf numFmtId="0" fontId="22" fillId="10" borderId="78" xfId="0" applyFont="1" applyFill="1" applyBorder="1" applyAlignment="1">
      <alignment horizontal="center"/>
    </xf>
    <xf numFmtId="0" fontId="22" fillId="10" borderId="79" xfId="0" applyFont="1" applyFill="1" applyBorder="1" applyAlignment="1">
      <alignment horizontal="center"/>
    </xf>
    <xf numFmtId="0" fontId="17" fillId="8" borderId="51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center"/>
    </xf>
    <xf numFmtId="3" fontId="22" fillId="10" borderId="57" xfId="0" applyNumberFormat="1" applyFont="1" applyFill="1" applyBorder="1" applyAlignment="1">
      <alignment horizontal="center"/>
    </xf>
    <xf numFmtId="3" fontId="22" fillId="10" borderId="78" xfId="0" applyNumberFormat="1" applyFont="1" applyFill="1" applyBorder="1" applyAlignment="1">
      <alignment horizontal="center"/>
    </xf>
    <xf numFmtId="3" fontId="22" fillId="10" borderId="79" xfId="0" applyNumberFormat="1" applyFont="1" applyFill="1" applyBorder="1" applyAlignment="1">
      <alignment horizontal="center"/>
    </xf>
    <xf numFmtId="0" fontId="17" fillId="8" borderId="44" xfId="0" applyFont="1" applyFill="1" applyBorder="1" applyAlignment="1">
      <alignment horizontal="center"/>
    </xf>
    <xf numFmtId="0" fontId="17" fillId="8" borderId="42" xfId="0" applyFont="1" applyFill="1" applyBorder="1" applyAlignment="1">
      <alignment horizontal="center"/>
    </xf>
    <xf numFmtId="0" fontId="17" fillId="8" borderId="41" xfId="0" applyFont="1" applyFill="1" applyBorder="1" applyAlignment="1">
      <alignment horizontal="center"/>
    </xf>
    <xf numFmtId="0" fontId="17" fillId="8" borderId="21" xfId="0" applyFont="1" applyFill="1" applyBorder="1" applyAlignment="1">
      <alignment horizontal="center" vertical="center"/>
    </xf>
    <xf numFmtId="0" fontId="31" fillId="0" borderId="51" xfId="0" applyFont="1" applyFill="1" applyBorder="1" applyAlignment="1">
      <alignment horizontal="center"/>
    </xf>
    <xf numFmtId="0" fontId="31" fillId="0" borderId="4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24" fillId="13" borderId="96" xfId="0" applyFont="1" applyFill="1" applyBorder="1" applyAlignment="1">
      <alignment horizontal="center"/>
    </xf>
    <xf numFmtId="0" fontId="24" fillId="13" borderId="97" xfId="0" applyFont="1" applyFill="1" applyBorder="1" applyAlignment="1">
      <alignment horizontal="center"/>
    </xf>
    <xf numFmtId="0" fontId="24" fillId="13" borderId="80" xfId="0" applyFont="1" applyFill="1" applyBorder="1" applyAlignment="1">
      <alignment horizontal="center"/>
    </xf>
    <xf numFmtId="0" fontId="29" fillId="8" borderId="44" xfId="0" applyFont="1" applyFill="1" applyBorder="1" applyAlignment="1">
      <alignment horizontal="center"/>
    </xf>
    <xf numFmtId="0" fontId="29" fillId="8" borderId="42" xfId="0" applyFont="1" applyFill="1" applyBorder="1" applyAlignment="1">
      <alignment horizontal="center"/>
    </xf>
    <xf numFmtId="0" fontId="29" fillId="8" borderId="44" xfId="0" applyFont="1" applyFill="1" applyBorder="1" applyAlignment="1">
      <alignment horizontal="center" vertical="center"/>
    </xf>
    <xf numFmtId="0" fontId="29" fillId="8" borderId="42" xfId="0" applyFont="1" applyFill="1" applyBorder="1" applyAlignment="1">
      <alignment horizontal="center" vertical="center"/>
    </xf>
    <xf numFmtId="0" fontId="29" fillId="8" borderId="41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72" fontId="54" fillId="0" borderId="70" xfId="0" applyNumberFormat="1" applyFont="1" applyBorder="1" applyAlignment="1">
      <alignment horizontal="center" vertical="center" wrapText="1"/>
    </xf>
    <xf numFmtId="172" fontId="54" fillId="0" borderId="76" xfId="0" applyNumberFormat="1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/>
    </xf>
    <xf numFmtId="0" fontId="52" fillId="20" borderId="0" xfId="0" applyFont="1" applyFill="1" applyAlignment="1">
      <alignment horizontal="center"/>
    </xf>
    <xf numFmtId="0" fontId="53" fillId="0" borderId="0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172" fontId="54" fillId="0" borderId="83" xfId="0" applyNumberFormat="1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/>
    </xf>
    <xf numFmtId="0" fontId="54" fillId="0" borderId="40" xfId="0" applyFont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5" fillId="0" borderId="78" xfId="0" applyFont="1" applyBorder="1" applyAlignment="1">
      <alignment horizontal="center"/>
    </xf>
    <xf numFmtId="0" fontId="0" fillId="0" borderId="78" xfId="0" applyBorder="1" applyAlignment="1">
      <alignment horizontal="center"/>
    </xf>
    <xf numFmtId="176" fontId="24" fillId="0" borderId="26" xfId="4" applyNumberFormat="1" applyFont="1" applyBorder="1" applyProtection="1">
      <protection locked="0"/>
    </xf>
    <xf numFmtId="176" fontId="24" fillId="0" borderId="14" xfId="4" applyNumberFormat="1" applyFont="1" applyBorder="1" applyProtection="1">
      <protection locked="0"/>
    </xf>
  </cellXfs>
  <cellStyles count="6">
    <cellStyle name="Euro" xfId="1"/>
    <cellStyle name="Lien hypertexte" xfId="2" builtinId="8"/>
    <cellStyle name="Milliers" xfId="3" builtinId="3"/>
    <cellStyle name="Monétaire" xfId="4" builtinId="4"/>
    <cellStyle name="Normal" xfId="0" builtinId="0"/>
    <cellStyle name="Pourcentage" xfId="5" builtinId="5"/>
  </cellStyles>
  <dxfs count="16"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327025</xdr:colOff>
      <xdr:row>3</xdr:row>
      <xdr:rowOff>12700</xdr:rowOff>
    </xdr:from>
    <xdr:to>
      <xdr:col>4</xdr:col>
      <xdr:colOff>654103</xdr:colOff>
      <xdr:row>5</xdr:row>
      <xdr:rowOff>136525</xdr:rowOff>
    </xdr:to>
    <xdr:sp macro="" textlink="">
      <xdr:nvSpPr>
        <xdr:cNvPr id="2526" name="ZoneTexte 2"/>
        <xdr:cNvSpPr txBox="1">
          <a:spLocks noChangeArrowheads="1"/>
        </xdr:cNvSpPr>
      </xdr:nvSpPr>
      <xdr:spPr bwMode="auto">
        <a:xfrm>
          <a:off x="355600" y="469900"/>
          <a:ext cx="3657600" cy="419100"/>
        </a:xfrm>
        <a:prstGeom prst="rect">
          <a:avLst/>
        </a:prstGeom>
        <a:gradFill rotWithShape="1">
          <a:gsLst>
            <a:gs pos="0">
              <a:srgbClr val="5D417E"/>
            </a:gs>
            <a:gs pos="80000">
              <a:srgbClr val="7B58A6"/>
            </a:gs>
            <a:gs pos="100000">
              <a:srgbClr val="7B57A8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PLAN DE FINANCEMENT : BESOINS - RESSOURCES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0</xdr:col>
      <xdr:colOff>171450</xdr:colOff>
      <xdr:row>8</xdr:row>
      <xdr:rowOff>12700</xdr:rowOff>
    </xdr:from>
    <xdr:to>
      <xdr:col>1</xdr:col>
      <xdr:colOff>612701</xdr:colOff>
      <xdr:row>11</xdr:row>
      <xdr:rowOff>60325</xdr:rowOff>
    </xdr:to>
    <xdr:sp macro="" textlink="">
      <xdr:nvSpPr>
        <xdr:cNvPr id="2527" name="ZoneTexte 3"/>
        <xdr:cNvSpPr txBox="1">
          <a:spLocks noChangeArrowheads="1"/>
        </xdr:cNvSpPr>
      </xdr:nvSpPr>
      <xdr:spPr bwMode="auto">
        <a:xfrm>
          <a:off x="190500" y="1231900"/>
          <a:ext cx="1295400" cy="520700"/>
        </a:xfrm>
        <a:prstGeom prst="rect">
          <a:avLst/>
        </a:prstGeom>
        <a:gradFill rotWithShape="1">
          <a:gsLst>
            <a:gs pos="0">
              <a:srgbClr val="769535"/>
            </a:gs>
            <a:gs pos="80000">
              <a:srgbClr val="9BC348"/>
            </a:gs>
            <a:gs pos="100000">
              <a:srgbClr val="9CC74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Détails des investissements</a:t>
          </a:r>
        </a:p>
        <a:p>
          <a:pPr algn="l" rtl="0">
            <a:defRPr sz="1000"/>
          </a:pPr>
          <a:endParaRPr lang="fr-FR" sz="1100" b="1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1</xdr:col>
      <xdr:colOff>692150</xdr:colOff>
      <xdr:row>8</xdr:row>
      <xdr:rowOff>12700</xdr:rowOff>
    </xdr:from>
    <xdr:to>
      <xdr:col>3</xdr:col>
      <xdr:colOff>365281</xdr:colOff>
      <xdr:row>11</xdr:row>
      <xdr:rowOff>60325</xdr:rowOff>
    </xdr:to>
    <xdr:sp macro="" textlink="">
      <xdr:nvSpPr>
        <xdr:cNvPr id="2528" name="ZoneTexte 6"/>
        <xdr:cNvSpPr txBox="1">
          <a:spLocks noChangeArrowheads="1"/>
        </xdr:cNvSpPr>
      </xdr:nvSpPr>
      <xdr:spPr bwMode="auto">
        <a:xfrm>
          <a:off x="1574800" y="1231900"/>
          <a:ext cx="1295400" cy="520700"/>
        </a:xfrm>
        <a:prstGeom prst="rect">
          <a:avLst/>
        </a:prstGeom>
        <a:gradFill rotWithShape="1">
          <a:gsLst>
            <a:gs pos="0">
              <a:srgbClr val="769535"/>
            </a:gs>
            <a:gs pos="80000">
              <a:srgbClr val="9BC348"/>
            </a:gs>
            <a:gs pos="100000">
              <a:srgbClr val="9CC74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Stock de départ</a:t>
          </a:r>
        </a:p>
      </xdr:txBody>
    </xdr:sp>
    <xdr:clientData/>
  </xdr:twoCellAnchor>
  <xdr:twoCellAnchor>
    <xdr:from>
      <xdr:col>3</xdr:col>
      <xdr:colOff>419100</xdr:colOff>
      <xdr:row>8</xdr:row>
      <xdr:rowOff>12700</xdr:rowOff>
    </xdr:from>
    <xdr:to>
      <xdr:col>5</xdr:col>
      <xdr:colOff>91998</xdr:colOff>
      <xdr:row>11</xdr:row>
      <xdr:rowOff>38100</xdr:rowOff>
    </xdr:to>
    <xdr:sp macro="" textlink="">
      <xdr:nvSpPr>
        <xdr:cNvPr id="2529" name="ZoneTexte 7"/>
        <xdr:cNvSpPr txBox="1">
          <a:spLocks noChangeArrowheads="1"/>
        </xdr:cNvSpPr>
      </xdr:nvSpPr>
      <xdr:spPr bwMode="auto">
        <a:xfrm>
          <a:off x="2933700" y="1231900"/>
          <a:ext cx="1295400" cy="508000"/>
        </a:xfrm>
        <a:prstGeom prst="rect">
          <a:avLst/>
        </a:prstGeom>
        <a:gradFill rotWithShape="1">
          <a:gsLst>
            <a:gs pos="0">
              <a:srgbClr val="769535"/>
            </a:gs>
            <a:gs pos="80000">
              <a:srgbClr val="9BC348"/>
            </a:gs>
            <a:gs pos="100000">
              <a:srgbClr val="9CC74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Trésorerie de départ</a:t>
          </a:r>
        </a:p>
      </xdr:txBody>
    </xdr:sp>
    <xdr:clientData/>
  </xdr:twoCellAnchor>
  <xdr:twoCellAnchor>
    <xdr:from>
      <xdr:col>0</xdr:col>
      <xdr:colOff>142875</xdr:colOff>
      <xdr:row>11</xdr:row>
      <xdr:rowOff>184150</xdr:rowOff>
    </xdr:from>
    <xdr:to>
      <xdr:col>5</xdr:col>
      <xdr:colOff>104775</xdr:colOff>
      <xdr:row>13</xdr:row>
      <xdr:rowOff>85838</xdr:rowOff>
    </xdr:to>
    <xdr:sp macro="" textlink="">
      <xdr:nvSpPr>
        <xdr:cNvPr id="2530" name="ZoneTexte 8"/>
        <xdr:cNvSpPr txBox="1">
          <a:spLocks noChangeArrowheads="1"/>
        </xdr:cNvSpPr>
      </xdr:nvSpPr>
      <xdr:spPr bwMode="auto">
        <a:xfrm>
          <a:off x="152400" y="1866900"/>
          <a:ext cx="4089400" cy="241300"/>
        </a:xfrm>
        <a:prstGeom prst="rect">
          <a:avLst/>
        </a:prstGeom>
        <a:gradFill rotWithShape="1">
          <a:gsLst>
            <a:gs pos="0">
              <a:srgbClr val="2787A0"/>
            </a:gs>
            <a:gs pos="80000">
              <a:srgbClr val="36B1D2"/>
            </a:gs>
            <a:gs pos="100000">
              <a:srgbClr val="34B3D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Besoin en fonds de roulement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0</xdr:col>
      <xdr:colOff>285750</xdr:colOff>
      <xdr:row>17</xdr:row>
      <xdr:rowOff>12700</xdr:rowOff>
    </xdr:from>
    <xdr:to>
      <xdr:col>4</xdr:col>
      <xdr:colOff>615985</xdr:colOff>
      <xdr:row>19</xdr:row>
      <xdr:rowOff>136525</xdr:rowOff>
    </xdr:to>
    <xdr:sp macro="" textlink="">
      <xdr:nvSpPr>
        <xdr:cNvPr id="2531" name="ZoneTexte 9"/>
        <xdr:cNvSpPr txBox="1">
          <a:spLocks noChangeArrowheads="1"/>
        </xdr:cNvSpPr>
      </xdr:nvSpPr>
      <xdr:spPr bwMode="auto">
        <a:xfrm>
          <a:off x="304800" y="2654300"/>
          <a:ext cx="3670300" cy="419100"/>
        </a:xfrm>
        <a:prstGeom prst="rect">
          <a:avLst/>
        </a:prstGeom>
        <a:gradFill rotWithShape="1">
          <a:gsLst>
            <a:gs pos="0">
              <a:srgbClr val="5D417E"/>
            </a:gs>
            <a:gs pos="80000">
              <a:srgbClr val="7B58A6"/>
            </a:gs>
            <a:gs pos="100000">
              <a:srgbClr val="7B57A8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COMPTE DE RESULTAT PREVISIONNEL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0</xdr:col>
      <xdr:colOff>314325</xdr:colOff>
      <xdr:row>21</xdr:row>
      <xdr:rowOff>136525</xdr:rowOff>
    </xdr:from>
    <xdr:to>
      <xdr:col>1</xdr:col>
      <xdr:colOff>755701</xdr:colOff>
      <xdr:row>25</xdr:row>
      <xdr:rowOff>25509</xdr:rowOff>
    </xdr:to>
    <xdr:sp macro="" textlink="">
      <xdr:nvSpPr>
        <xdr:cNvPr id="2532" name="ZoneTexte 10"/>
        <xdr:cNvSpPr txBox="1">
          <a:spLocks noChangeArrowheads="1"/>
        </xdr:cNvSpPr>
      </xdr:nvSpPr>
      <xdr:spPr bwMode="auto">
        <a:xfrm>
          <a:off x="342900" y="3378200"/>
          <a:ext cx="1295400" cy="508000"/>
        </a:xfrm>
        <a:prstGeom prst="rect">
          <a:avLst/>
        </a:prstGeom>
        <a:gradFill rotWithShape="1">
          <a:gsLst>
            <a:gs pos="0">
              <a:srgbClr val="769535"/>
            </a:gs>
            <a:gs pos="80000">
              <a:srgbClr val="9BC348"/>
            </a:gs>
            <a:gs pos="100000">
              <a:srgbClr val="9CC74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Détails des charges fixes</a:t>
          </a:r>
        </a:p>
      </xdr:txBody>
    </xdr:sp>
    <xdr:clientData/>
  </xdr:twoCellAnchor>
  <xdr:twoCellAnchor>
    <xdr:from>
      <xdr:col>0</xdr:col>
      <xdr:colOff>171450</xdr:colOff>
      <xdr:row>28</xdr:row>
      <xdr:rowOff>12700</xdr:rowOff>
    </xdr:from>
    <xdr:to>
      <xdr:col>5</xdr:col>
      <xdr:colOff>142875</xdr:colOff>
      <xdr:row>29</xdr:row>
      <xdr:rowOff>98425</xdr:rowOff>
    </xdr:to>
    <xdr:sp macro="" textlink="">
      <xdr:nvSpPr>
        <xdr:cNvPr id="2533" name="ZoneTexte 11"/>
        <xdr:cNvSpPr txBox="1">
          <a:spLocks noChangeArrowheads="1"/>
        </xdr:cNvSpPr>
      </xdr:nvSpPr>
      <xdr:spPr bwMode="auto">
        <a:xfrm>
          <a:off x="190500" y="4330700"/>
          <a:ext cx="4089400" cy="228600"/>
        </a:xfrm>
        <a:prstGeom prst="rect">
          <a:avLst/>
        </a:prstGeom>
        <a:gradFill rotWithShape="1">
          <a:gsLst>
            <a:gs pos="0">
              <a:srgbClr val="2787A0"/>
            </a:gs>
            <a:gs pos="80000">
              <a:srgbClr val="36B1D2"/>
            </a:gs>
            <a:gs pos="100000">
              <a:srgbClr val="34B3D6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CAF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0</xdr:col>
      <xdr:colOff>222250</xdr:colOff>
      <xdr:row>32</xdr:row>
      <xdr:rowOff>0</xdr:rowOff>
    </xdr:from>
    <xdr:to>
      <xdr:col>4</xdr:col>
      <xdr:colOff>562002</xdr:colOff>
      <xdr:row>34</xdr:row>
      <xdr:rowOff>123825</xdr:rowOff>
    </xdr:to>
    <xdr:sp macro="" textlink="">
      <xdr:nvSpPr>
        <xdr:cNvPr id="2534" name="ZoneTexte 12"/>
        <xdr:cNvSpPr txBox="1">
          <a:spLocks noChangeArrowheads="1"/>
        </xdr:cNvSpPr>
      </xdr:nvSpPr>
      <xdr:spPr bwMode="auto">
        <a:xfrm>
          <a:off x="241300" y="4927600"/>
          <a:ext cx="3670300" cy="419100"/>
        </a:xfrm>
        <a:prstGeom prst="rect">
          <a:avLst/>
        </a:prstGeom>
        <a:gradFill rotWithShape="1">
          <a:gsLst>
            <a:gs pos="0">
              <a:srgbClr val="5D417E"/>
            </a:gs>
            <a:gs pos="80000">
              <a:srgbClr val="7B58A6"/>
            </a:gs>
            <a:gs pos="100000">
              <a:srgbClr val="7B57A8"/>
            </a:gs>
          </a:gsLst>
          <a:lin ang="16200000"/>
        </a:gradFill>
        <a:ln>
          <a:noFill/>
        </a:ln>
        <a:effectLst>
          <a:outerShdw blurRad="63500" dist="23000" dir="5400000" rotWithShape="0">
            <a:srgbClr val="000000">
              <a:alpha val="34998"/>
            </a:srgbClr>
          </a:outerShdw>
        </a:effectLst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TRESORERIE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FFFFFF"/>
            </a:solidFill>
            <a:latin typeface="Calibri"/>
            <a:ea typeface="Calibri"/>
            <a:cs typeface="Calibri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16</xdr:row>
      <xdr:rowOff>114300</xdr:rowOff>
    </xdr:from>
    <xdr:to>
      <xdr:col>4</xdr:col>
      <xdr:colOff>676275</xdr:colOff>
      <xdr:row>16</xdr:row>
      <xdr:rowOff>114300</xdr:rowOff>
    </xdr:to>
    <xdr:sp macro="" textlink="">
      <xdr:nvSpPr>
        <xdr:cNvPr id="9509" name="Line 9"/>
        <xdr:cNvSpPr>
          <a:spLocks noChangeShapeType="1"/>
        </xdr:cNvSpPr>
      </xdr:nvSpPr>
      <xdr:spPr bwMode="auto">
        <a:xfrm>
          <a:off x="3228975" y="3629025"/>
          <a:ext cx="2419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333375</xdr:colOff>
      <xdr:row>16</xdr:row>
      <xdr:rowOff>133350</xdr:rowOff>
    </xdr:from>
    <xdr:to>
      <xdr:col>1</xdr:col>
      <xdr:colOff>333375</xdr:colOff>
      <xdr:row>18</xdr:row>
      <xdr:rowOff>76200</xdr:rowOff>
    </xdr:to>
    <xdr:sp macro="" textlink="">
      <xdr:nvSpPr>
        <xdr:cNvPr id="9510" name="Line 10"/>
        <xdr:cNvSpPr>
          <a:spLocks noChangeShapeType="1"/>
        </xdr:cNvSpPr>
      </xdr:nvSpPr>
      <xdr:spPr bwMode="auto">
        <a:xfrm>
          <a:off x="3248025" y="3648075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114300</xdr:colOff>
      <xdr:row>20</xdr:row>
      <xdr:rowOff>28575</xdr:rowOff>
    </xdr:from>
    <xdr:to>
      <xdr:col>5</xdr:col>
      <xdr:colOff>219075</xdr:colOff>
      <xdr:row>26</xdr:row>
      <xdr:rowOff>171450</xdr:rowOff>
    </xdr:to>
    <xdr:sp macro="" textlink="">
      <xdr:nvSpPr>
        <xdr:cNvPr id="9511" name="AutoShape 15"/>
        <xdr:cNvSpPr>
          <a:spLocks/>
        </xdr:cNvSpPr>
      </xdr:nvSpPr>
      <xdr:spPr bwMode="auto">
        <a:xfrm>
          <a:off x="5848350" y="4419600"/>
          <a:ext cx="104775" cy="1400175"/>
        </a:xfrm>
        <a:prstGeom prst="rightBrace">
          <a:avLst>
            <a:gd name="adj1" fmla="val 11136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409575</xdr:colOff>
      <xdr:row>4</xdr:row>
      <xdr:rowOff>9525</xdr:rowOff>
    </xdr:from>
    <xdr:to>
      <xdr:col>2</xdr:col>
      <xdr:colOff>409575</xdr:colOff>
      <xdr:row>4</xdr:row>
      <xdr:rowOff>123825</xdr:rowOff>
    </xdr:to>
    <xdr:sp macro="" textlink="">
      <xdr:nvSpPr>
        <xdr:cNvPr id="9512" name="Line 16"/>
        <xdr:cNvSpPr>
          <a:spLocks noChangeShapeType="1"/>
        </xdr:cNvSpPr>
      </xdr:nvSpPr>
      <xdr:spPr bwMode="auto">
        <a:xfrm>
          <a:off x="3857625" y="971550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190500</xdr:rowOff>
    </xdr:from>
    <xdr:to>
      <xdr:col>1</xdr:col>
      <xdr:colOff>0</xdr:colOff>
      <xdr:row>5</xdr:row>
      <xdr:rowOff>190500</xdr:rowOff>
    </xdr:to>
    <xdr:sp macro="" textlink="">
      <xdr:nvSpPr>
        <xdr:cNvPr id="10679" name="Line 3"/>
        <xdr:cNvSpPr>
          <a:spLocks noChangeShapeType="1"/>
        </xdr:cNvSpPr>
      </xdr:nvSpPr>
      <xdr:spPr bwMode="auto">
        <a:xfrm flipV="1">
          <a:off x="2895600" y="151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190500</xdr:rowOff>
    </xdr:from>
    <xdr:to>
      <xdr:col>1</xdr:col>
      <xdr:colOff>0</xdr:colOff>
      <xdr:row>7</xdr:row>
      <xdr:rowOff>190500</xdr:rowOff>
    </xdr:to>
    <xdr:sp macro="" textlink="">
      <xdr:nvSpPr>
        <xdr:cNvPr id="10680" name="Line 4"/>
        <xdr:cNvSpPr>
          <a:spLocks noChangeShapeType="1"/>
        </xdr:cNvSpPr>
      </xdr:nvSpPr>
      <xdr:spPr bwMode="auto">
        <a:xfrm flipV="1">
          <a:off x="2895600" y="2066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714375</xdr:colOff>
      <xdr:row>25</xdr:row>
      <xdr:rowOff>9525</xdr:rowOff>
    </xdr:from>
    <xdr:to>
      <xdr:col>2</xdr:col>
      <xdr:colOff>38100</xdr:colOff>
      <xdr:row>37</xdr:row>
      <xdr:rowOff>38100</xdr:rowOff>
    </xdr:to>
    <xdr:pic>
      <xdr:nvPicPr>
        <xdr:cNvPr id="10681" name="Picture 8" descr="bd04972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181725"/>
          <a:ext cx="2628900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752475</xdr:colOff>
      <xdr:row>15</xdr:row>
      <xdr:rowOff>85725</xdr:rowOff>
    </xdr:from>
    <xdr:to>
      <xdr:col>8</xdr:col>
      <xdr:colOff>285750</xdr:colOff>
      <xdr:row>23</xdr:row>
      <xdr:rowOff>152400</xdr:rowOff>
    </xdr:to>
    <xdr:sp macro="" textlink="">
      <xdr:nvSpPr>
        <xdr:cNvPr id="10682" name="AutoShape 10"/>
        <xdr:cNvSpPr>
          <a:spLocks/>
        </xdr:cNvSpPr>
      </xdr:nvSpPr>
      <xdr:spPr bwMode="auto">
        <a:xfrm>
          <a:off x="6838950" y="3876675"/>
          <a:ext cx="285750" cy="1971675"/>
        </a:xfrm>
        <a:prstGeom prst="rightBrace">
          <a:avLst>
            <a:gd name="adj1" fmla="val 5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171450</xdr:colOff>
      <xdr:row>8</xdr:row>
      <xdr:rowOff>142875</xdr:rowOff>
    </xdr:from>
    <xdr:to>
      <xdr:col>8</xdr:col>
      <xdr:colOff>676275</xdr:colOff>
      <xdr:row>8</xdr:row>
      <xdr:rowOff>142875</xdr:rowOff>
    </xdr:to>
    <xdr:sp macro="" textlink="">
      <xdr:nvSpPr>
        <xdr:cNvPr id="10683" name="Line 12"/>
        <xdr:cNvSpPr>
          <a:spLocks noChangeShapeType="1"/>
        </xdr:cNvSpPr>
      </xdr:nvSpPr>
      <xdr:spPr bwMode="auto">
        <a:xfrm flipH="1">
          <a:off x="7010400" y="2266950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352425</xdr:colOff>
      <xdr:row>19</xdr:row>
      <xdr:rowOff>180975</xdr:rowOff>
    </xdr:from>
    <xdr:to>
      <xdr:col>8</xdr:col>
      <xdr:colOff>752475</xdr:colOff>
      <xdr:row>21</xdr:row>
      <xdr:rowOff>0</xdr:rowOff>
    </xdr:to>
    <xdr:sp macro="" textlink="">
      <xdr:nvSpPr>
        <xdr:cNvPr id="10684" name="Line 13"/>
        <xdr:cNvSpPr>
          <a:spLocks noChangeShapeType="1"/>
        </xdr:cNvSpPr>
      </xdr:nvSpPr>
      <xdr:spPr bwMode="auto">
        <a:xfrm flipH="1" flipV="1">
          <a:off x="7191375" y="4924425"/>
          <a:ext cx="40005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32</xdr:row>
      <xdr:rowOff>9525</xdr:rowOff>
    </xdr:from>
    <xdr:to>
      <xdr:col>2</xdr:col>
      <xdr:colOff>0</xdr:colOff>
      <xdr:row>34</xdr:row>
      <xdr:rowOff>123825</xdr:rowOff>
    </xdr:to>
    <xdr:sp macro="" textlink="">
      <xdr:nvSpPr>
        <xdr:cNvPr id="11338" name="AutoShape 1"/>
        <xdr:cNvSpPr>
          <a:spLocks/>
        </xdr:cNvSpPr>
      </xdr:nvSpPr>
      <xdr:spPr bwMode="auto">
        <a:xfrm>
          <a:off x="3219450" y="5381625"/>
          <a:ext cx="123825" cy="438150"/>
        </a:xfrm>
        <a:prstGeom prst="leftBrace">
          <a:avLst>
            <a:gd name="adj1" fmla="val 2948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28575</xdr:rowOff>
    </xdr:from>
    <xdr:to>
      <xdr:col>1</xdr:col>
      <xdr:colOff>638175</xdr:colOff>
      <xdr:row>30</xdr:row>
      <xdr:rowOff>161925</xdr:rowOff>
    </xdr:to>
    <xdr:pic>
      <xdr:nvPicPr>
        <xdr:cNvPr id="2368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505700"/>
          <a:ext cx="981075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2981325</xdr:colOff>
      <xdr:row>26</xdr:row>
      <xdr:rowOff>28575</xdr:rowOff>
    </xdr:from>
    <xdr:to>
      <xdr:col>2</xdr:col>
      <xdr:colOff>838200</xdr:colOff>
      <xdr:row>30</xdr:row>
      <xdr:rowOff>133350</xdr:rowOff>
    </xdr:to>
    <xdr:pic>
      <xdr:nvPicPr>
        <xdr:cNvPr id="2368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505700"/>
          <a:ext cx="1038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23685" name="Line 1"/>
        <xdr:cNvSpPr>
          <a:spLocks noChangeShapeType="1"/>
        </xdr:cNvSpPr>
      </xdr:nvSpPr>
      <xdr:spPr bwMode="auto">
        <a:xfrm>
          <a:off x="8867775" y="71913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85725</xdr:colOff>
      <xdr:row>25</xdr:row>
      <xdr:rowOff>0</xdr:rowOff>
    </xdr:to>
    <xdr:sp macro="" textlink="">
      <xdr:nvSpPr>
        <xdr:cNvPr id="23686" name="Line 2"/>
        <xdr:cNvSpPr>
          <a:spLocks noChangeShapeType="1"/>
        </xdr:cNvSpPr>
      </xdr:nvSpPr>
      <xdr:spPr bwMode="auto">
        <a:xfrm>
          <a:off x="886777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1038225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23687" name="Line 3"/>
        <xdr:cNvSpPr>
          <a:spLocks noChangeShapeType="1"/>
        </xdr:cNvSpPr>
      </xdr:nvSpPr>
      <xdr:spPr bwMode="auto">
        <a:xfrm>
          <a:off x="9772650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28575</xdr:rowOff>
    </xdr:from>
    <xdr:to>
      <xdr:col>1</xdr:col>
      <xdr:colOff>638175</xdr:colOff>
      <xdr:row>30</xdr:row>
      <xdr:rowOff>161925</xdr:rowOff>
    </xdr:to>
    <xdr:pic>
      <xdr:nvPicPr>
        <xdr:cNvPr id="34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505700"/>
          <a:ext cx="981075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2981325</xdr:colOff>
      <xdr:row>26</xdr:row>
      <xdr:rowOff>28575</xdr:rowOff>
    </xdr:from>
    <xdr:to>
      <xdr:col>2</xdr:col>
      <xdr:colOff>838200</xdr:colOff>
      <xdr:row>30</xdr:row>
      <xdr:rowOff>133350</xdr:rowOff>
    </xdr:to>
    <xdr:pic>
      <xdr:nvPicPr>
        <xdr:cNvPr id="343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505700"/>
          <a:ext cx="1038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3440" name="Line 1"/>
        <xdr:cNvSpPr>
          <a:spLocks noChangeShapeType="1"/>
        </xdr:cNvSpPr>
      </xdr:nvSpPr>
      <xdr:spPr bwMode="auto">
        <a:xfrm>
          <a:off x="8867775" y="71913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85725</xdr:colOff>
      <xdr:row>25</xdr:row>
      <xdr:rowOff>0</xdr:rowOff>
    </xdr:to>
    <xdr:sp macro="" textlink="">
      <xdr:nvSpPr>
        <xdr:cNvPr id="3441" name="Line 2"/>
        <xdr:cNvSpPr>
          <a:spLocks noChangeShapeType="1"/>
        </xdr:cNvSpPr>
      </xdr:nvSpPr>
      <xdr:spPr bwMode="auto">
        <a:xfrm>
          <a:off x="886777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1038225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3442" name="Line 3"/>
        <xdr:cNvSpPr>
          <a:spLocks noChangeShapeType="1"/>
        </xdr:cNvSpPr>
      </xdr:nvSpPr>
      <xdr:spPr bwMode="auto">
        <a:xfrm>
          <a:off x="9772650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28575</xdr:rowOff>
    </xdr:from>
    <xdr:to>
      <xdr:col>1</xdr:col>
      <xdr:colOff>638175</xdr:colOff>
      <xdr:row>30</xdr:row>
      <xdr:rowOff>161925</xdr:rowOff>
    </xdr:to>
    <xdr:pic>
      <xdr:nvPicPr>
        <xdr:cNvPr id="44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505700"/>
          <a:ext cx="981075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2981325</xdr:colOff>
      <xdr:row>26</xdr:row>
      <xdr:rowOff>28575</xdr:rowOff>
    </xdr:from>
    <xdr:to>
      <xdr:col>2</xdr:col>
      <xdr:colOff>838200</xdr:colOff>
      <xdr:row>30</xdr:row>
      <xdr:rowOff>133350</xdr:rowOff>
    </xdr:to>
    <xdr:pic>
      <xdr:nvPicPr>
        <xdr:cNvPr id="446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505700"/>
          <a:ext cx="1038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4464" name="Line 1"/>
        <xdr:cNvSpPr>
          <a:spLocks noChangeShapeType="1"/>
        </xdr:cNvSpPr>
      </xdr:nvSpPr>
      <xdr:spPr bwMode="auto">
        <a:xfrm>
          <a:off x="8867775" y="71913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25</xdr:row>
      <xdr:rowOff>0</xdr:rowOff>
    </xdr:from>
    <xdr:to>
      <xdr:col>8</xdr:col>
      <xdr:colOff>85725</xdr:colOff>
      <xdr:row>25</xdr:row>
      <xdr:rowOff>0</xdr:rowOff>
    </xdr:to>
    <xdr:sp macro="" textlink="">
      <xdr:nvSpPr>
        <xdr:cNvPr id="4465" name="Line 2"/>
        <xdr:cNvSpPr>
          <a:spLocks noChangeShapeType="1"/>
        </xdr:cNvSpPr>
      </xdr:nvSpPr>
      <xdr:spPr bwMode="auto">
        <a:xfrm>
          <a:off x="886777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1038225</xdr:colOff>
      <xdr:row>25</xdr:row>
      <xdr:rowOff>0</xdr:rowOff>
    </xdr:from>
    <xdr:to>
      <xdr:col>8</xdr:col>
      <xdr:colOff>990600</xdr:colOff>
      <xdr:row>25</xdr:row>
      <xdr:rowOff>0</xdr:rowOff>
    </xdr:to>
    <xdr:sp macro="" textlink="">
      <xdr:nvSpPr>
        <xdr:cNvPr id="4466" name="Line 3"/>
        <xdr:cNvSpPr>
          <a:spLocks noChangeShapeType="1"/>
        </xdr:cNvSpPr>
      </xdr:nvSpPr>
      <xdr:spPr bwMode="auto">
        <a:xfrm>
          <a:off x="9772650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14</xdr:row>
      <xdr:rowOff>0</xdr:rowOff>
    </xdr:from>
    <xdr:to>
      <xdr:col>0</xdr:col>
      <xdr:colOff>1833026</xdr:colOff>
      <xdr:row>14</xdr:row>
      <xdr:rowOff>0</xdr:rowOff>
    </xdr:to>
    <xdr:sp macro="" textlink="">
      <xdr:nvSpPr>
        <xdr:cNvPr id="3073" name="Texte 43"/>
        <xdr:cNvSpPr txBox="1">
          <a:spLocks noChangeArrowheads="1"/>
        </xdr:cNvSpPr>
      </xdr:nvSpPr>
      <xdr:spPr bwMode="auto">
        <a:xfrm>
          <a:off x="161925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-</a:t>
          </a:r>
        </a:p>
      </xdr:txBody>
    </xdr:sp>
    <xdr:clientData/>
  </xdr:twoCellAnchor>
  <xdr:twoCellAnchor>
    <xdr:from>
      <xdr:col>0</xdr:col>
      <xdr:colOff>1574800</xdr:colOff>
      <xdr:row>14</xdr:row>
      <xdr:rowOff>0</xdr:rowOff>
    </xdr:from>
    <xdr:to>
      <xdr:col>0</xdr:col>
      <xdr:colOff>1799489</xdr:colOff>
      <xdr:row>14</xdr:row>
      <xdr:rowOff>0</xdr:rowOff>
    </xdr:to>
    <xdr:sp macro="" textlink="">
      <xdr:nvSpPr>
        <xdr:cNvPr id="3074" name="Texte 44"/>
        <xdr:cNvSpPr txBox="1">
          <a:spLocks noChangeArrowheads="1"/>
        </xdr:cNvSpPr>
      </xdr:nvSpPr>
      <xdr:spPr bwMode="auto">
        <a:xfrm>
          <a:off x="156210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=</a:t>
          </a:r>
        </a:p>
      </xdr:txBody>
    </xdr:sp>
    <xdr:clientData/>
  </xdr:twoCellAnchor>
  <xdr:twoCellAnchor>
    <xdr:from>
      <xdr:col>0</xdr:col>
      <xdr:colOff>1638300</xdr:colOff>
      <xdr:row>14</xdr:row>
      <xdr:rowOff>0</xdr:rowOff>
    </xdr:from>
    <xdr:to>
      <xdr:col>0</xdr:col>
      <xdr:colOff>1866283</xdr:colOff>
      <xdr:row>14</xdr:row>
      <xdr:rowOff>0</xdr:rowOff>
    </xdr:to>
    <xdr:sp macro="" textlink="">
      <xdr:nvSpPr>
        <xdr:cNvPr id="3075" name="Texte 46"/>
        <xdr:cNvSpPr txBox="1">
          <a:spLocks noChangeArrowheads="1"/>
        </xdr:cNvSpPr>
      </xdr:nvSpPr>
      <xdr:spPr bwMode="auto">
        <a:xfrm>
          <a:off x="163830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-</a:t>
          </a:r>
        </a:p>
      </xdr:txBody>
    </xdr:sp>
    <xdr:clientData/>
  </xdr:twoCellAnchor>
  <xdr:twoCellAnchor>
    <xdr:from>
      <xdr:col>0</xdr:col>
      <xdr:colOff>1609725</xdr:colOff>
      <xdr:row>14</xdr:row>
      <xdr:rowOff>0</xdr:rowOff>
    </xdr:from>
    <xdr:to>
      <xdr:col>0</xdr:col>
      <xdr:colOff>1833026</xdr:colOff>
      <xdr:row>14</xdr:row>
      <xdr:rowOff>0</xdr:rowOff>
    </xdr:to>
    <xdr:sp macro="" textlink="">
      <xdr:nvSpPr>
        <xdr:cNvPr id="3076" name="Texte 45"/>
        <xdr:cNvSpPr txBox="1">
          <a:spLocks noChangeArrowheads="1"/>
        </xdr:cNvSpPr>
      </xdr:nvSpPr>
      <xdr:spPr bwMode="auto">
        <a:xfrm>
          <a:off x="1619250" y="2409825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=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66" name="Line 5"/>
        <xdr:cNvSpPr>
          <a:spLocks noChangeShapeType="1"/>
        </xdr:cNvSpPr>
      </xdr:nvSpPr>
      <xdr:spPr bwMode="auto">
        <a:xfrm flipV="1">
          <a:off x="334327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67" name="Line 6"/>
        <xdr:cNvSpPr>
          <a:spLocks noChangeShapeType="1"/>
        </xdr:cNvSpPr>
      </xdr:nvSpPr>
      <xdr:spPr bwMode="auto">
        <a:xfrm flipV="1">
          <a:off x="334327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68" name="Texte 7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69" name="Texte 19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0" name="Texte 23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1" name="Texte 37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2" name="Texte 38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3" name="Texte 39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14</xdr:row>
      <xdr:rowOff>0</xdr:rowOff>
    </xdr:from>
    <xdr:to>
      <xdr:col>0</xdr:col>
      <xdr:colOff>1743075</xdr:colOff>
      <xdr:row>14</xdr:row>
      <xdr:rowOff>0</xdr:rowOff>
    </xdr:to>
    <xdr:sp macro="" textlink="">
      <xdr:nvSpPr>
        <xdr:cNvPr id="27874" name="Texte 41"/>
        <xdr:cNvSpPr txBox="1">
          <a:spLocks noChangeArrowheads="1"/>
        </xdr:cNvSpPr>
      </xdr:nvSpPr>
      <xdr:spPr bwMode="auto">
        <a:xfrm>
          <a:off x="1514475" y="2409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14</xdr:row>
      <xdr:rowOff>0</xdr:rowOff>
    </xdr:from>
    <xdr:to>
      <xdr:col>0</xdr:col>
      <xdr:colOff>1714500</xdr:colOff>
      <xdr:row>14</xdr:row>
      <xdr:rowOff>0</xdr:rowOff>
    </xdr:to>
    <xdr:sp macro="" textlink="">
      <xdr:nvSpPr>
        <xdr:cNvPr id="27875" name="Texte 42"/>
        <xdr:cNvSpPr txBox="1">
          <a:spLocks noChangeArrowheads="1"/>
        </xdr:cNvSpPr>
      </xdr:nvSpPr>
      <xdr:spPr bwMode="auto">
        <a:xfrm>
          <a:off x="1485900" y="2409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14</xdr:row>
      <xdr:rowOff>0</xdr:rowOff>
    </xdr:from>
    <xdr:to>
      <xdr:col>0</xdr:col>
      <xdr:colOff>1714500</xdr:colOff>
      <xdr:row>14</xdr:row>
      <xdr:rowOff>0</xdr:rowOff>
    </xdr:to>
    <xdr:sp macro="" textlink="">
      <xdr:nvSpPr>
        <xdr:cNvPr id="27876" name="Texte 28"/>
        <xdr:cNvSpPr txBox="1">
          <a:spLocks noChangeArrowheads="1"/>
        </xdr:cNvSpPr>
      </xdr:nvSpPr>
      <xdr:spPr bwMode="auto">
        <a:xfrm>
          <a:off x="1485900" y="2409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7" name="Texte 9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8" name="Texte 13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79" name="Texte 15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7880" name="Texte 31"/>
        <xdr:cNvSpPr txBox="1">
          <a:spLocks noChangeArrowheads="1"/>
        </xdr:cNvSpPr>
      </xdr:nvSpPr>
      <xdr:spPr bwMode="auto">
        <a:xfrm>
          <a:off x="3343275" y="2409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9525</xdr:rowOff>
    </xdr:to>
    <xdr:sp macro="" textlink="">
      <xdr:nvSpPr>
        <xdr:cNvPr id="27881" name="Texte 9"/>
        <xdr:cNvSpPr txBox="1">
          <a:spLocks noChangeArrowheads="1"/>
        </xdr:cNvSpPr>
      </xdr:nvSpPr>
      <xdr:spPr bwMode="auto">
        <a:xfrm>
          <a:off x="3343275" y="3057525"/>
          <a:ext cx="0" cy="9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1638300</xdr:colOff>
      <xdr:row>30</xdr:row>
      <xdr:rowOff>0</xdr:rowOff>
    </xdr:from>
    <xdr:to>
      <xdr:col>0</xdr:col>
      <xdr:colOff>1866283</xdr:colOff>
      <xdr:row>30</xdr:row>
      <xdr:rowOff>0</xdr:rowOff>
    </xdr:to>
    <xdr:sp macro="" textlink="">
      <xdr:nvSpPr>
        <xdr:cNvPr id="3100" name="Texte 46"/>
        <xdr:cNvSpPr txBox="1">
          <a:spLocks noChangeArrowheads="1"/>
        </xdr:cNvSpPr>
      </xdr:nvSpPr>
      <xdr:spPr bwMode="auto">
        <a:xfrm>
          <a:off x="1638300" y="495300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-</a:t>
          </a:r>
        </a:p>
      </xdr:txBody>
    </xdr:sp>
    <xdr:clientData/>
  </xdr:twoCellAnchor>
  <xdr:twoCellAnchor>
    <xdr:from>
      <xdr:col>0</xdr:col>
      <xdr:colOff>1609725</xdr:colOff>
      <xdr:row>30</xdr:row>
      <xdr:rowOff>0</xdr:rowOff>
    </xdr:from>
    <xdr:to>
      <xdr:col>0</xdr:col>
      <xdr:colOff>1833026</xdr:colOff>
      <xdr:row>30</xdr:row>
      <xdr:rowOff>0</xdr:rowOff>
    </xdr:to>
    <xdr:sp macro="" textlink="">
      <xdr:nvSpPr>
        <xdr:cNvPr id="3101" name="Texte 45"/>
        <xdr:cNvSpPr txBox="1">
          <a:spLocks noChangeArrowheads="1"/>
        </xdr:cNvSpPr>
      </xdr:nvSpPr>
      <xdr:spPr bwMode="auto">
        <a:xfrm>
          <a:off x="1619250" y="495300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=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84" name="Texte 37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85" name="Texte 38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86" name="Texte 39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30</xdr:row>
      <xdr:rowOff>0</xdr:rowOff>
    </xdr:from>
    <xdr:to>
      <xdr:col>0</xdr:col>
      <xdr:colOff>1743075</xdr:colOff>
      <xdr:row>30</xdr:row>
      <xdr:rowOff>0</xdr:rowOff>
    </xdr:to>
    <xdr:sp macro="" textlink="">
      <xdr:nvSpPr>
        <xdr:cNvPr id="27887" name="Texte 41"/>
        <xdr:cNvSpPr txBox="1">
          <a:spLocks noChangeArrowheads="1"/>
        </xdr:cNvSpPr>
      </xdr:nvSpPr>
      <xdr:spPr bwMode="auto">
        <a:xfrm>
          <a:off x="1514475" y="49530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30</xdr:row>
      <xdr:rowOff>0</xdr:rowOff>
    </xdr:from>
    <xdr:to>
      <xdr:col>0</xdr:col>
      <xdr:colOff>1714500</xdr:colOff>
      <xdr:row>30</xdr:row>
      <xdr:rowOff>0</xdr:rowOff>
    </xdr:to>
    <xdr:sp macro="" textlink="">
      <xdr:nvSpPr>
        <xdr:cNvPr id="27888" name="Texte 42"/>
        <xdr:cNvSpPr txBox="1">
          <a:spLocks noChangeArrowheads="1"/>
        </xdr:cNvSpPr>
      </xdr:nvSpPr>
      <xdr:spPr bwMode="auto">
        <a:xfrm>
          <a:off x="1485900" y="49530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30</xdr:row>
      <xdr:rowOff>0</xdr:rowOff>
    </xdr:from>
    <xdr:to>
      <xdr:col>0</xdr:col>
      <xdr:colOff>1714500</xdr:colOff>
      <xdr:row>30</xdr:row>
      <xdr:rowOff>0</xdr:rowOff>
    </xdr:to>
    <xdr:sp macro="" textlink="">
      <xdr:nvSpPr>
        <xdr:cNvPr id="27889" name="Texte 28"/>
        <xdr:cNvSpPr txBox="1">
          <a:spLocks noChangeArrowheads="1"/>
        </xdr:cNvSpPr>
      </xdr:nvSpPr>
      <xdr:spPr bwMode="auto">
        <a:xfrm>
          <a:off x="1485900" y="49530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90" name="Texte 9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91" name="Texte 13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92" name="Texte 15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7893" name="Texte 31"/>
        <xdr:cNvSpPr txBox="1">
          <a:spLocks noChangeArrowheads="1"/>
        </xdr:cNvSpPr>
      </xdr:nvSpPr>
      <xdr:spPr bwMode="auto">
        <a:xfrm>
          <a:off x="3343275" y="4953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33</xdr:row>
      <xdr:rowOff>0</xdr:rowOff>
    </xdr:from>
    <xdr:to>
      <xdr:col>0</xdr:col>
      <xdr:colOff>1743075</xdr:colOff>
      <xdr:row>33</xdr:row>
      <xdr:rowOff>0</xdr:rowOff>
    </xdr:to>
    <xdr:sp macro="" textlink="">
      <xdr:nvSpPr>
        <xdr:cNvPr id="27894" name="Texte 41"/>
        <xdr:cNvSpPr txBox="1">
          <a:spLocks noChangeArrowheads="1"/>
        </xdr:cNvSpPr>
      </xdr:nvSpPr>
      <xdr:spPr bwMode="auto">
        <a:xfrm>
          <a:off x="1514475" y="53816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33</xdr:row>
      <xdr:rowOff>0</xdr:rowOff>
    </xdr:from>
    <xdr:to>
      <xdr:col>0</xdr:col>
      <xdr:colOff>1714500</xdr:colOff>
      <xdr:row>33</xdr:row>
      <xdr:rowOff>0</xdr:rowOff>
    </xdr:to>
    <xdr:sp macro="" textlink="">
      <xdr:nvSpPr>
        <xdr:cNvPr id="27895" name="Texte 28"/>
        <xdr:cNvSpPr txBox="1">
          <a:spLocks noChangeArrowheads="1"/>
        </xdr:cNvSpPr>
      </xdr:nvSpPr>
      <xdr:spPr bwMode="auto">
        <a:xfrm>
          <a:off x="1485900" y="53816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27896" name="Texte 9"/>
        <xdr:cNvSpPr txBox="1">
          <a:spLocks noChangeArrowheads="1"/>
        </xdr:cNvSpPr>
      </xdr:nvSpPr>
      <xdr:spPr bwMode="auto">
        <a:xfrm>
          <a:off x="3343275" y="53816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43</xdr:row>
      <xdr:rowOff>0</xdr:rowOff>
    </xdr:from>
    <xdr:to>
      <xdr:col>0</xdr:col>
      <xdr:colOff>1743075</xdr:colOff>
      <xdr:row>43</xdr:row>
      <xdr:rowOff>0</xdr:rowOff>
    </xdr:to>
    <xdr:sp macro="" textlink="">
      <xdr:nvSpPr>
        <xdr:cNvPr id="27897" name="Texte 41"/>
        <xdr:cNvSpPr txBox="1">
          <a:spLocks noChangeArrowheads="1"/>
        </xdr:cNvSpPr>
      </xdr:nvSpPr>
      <xdr:spPr bwMode="auto">
        <a:xfrm>
          <a:off x="1514475" y="6981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43</xdr:row>
      <xdr:rowOff>0</xdr:rowOff>
    </xdr:from>
    <xdr:to>
      <xdr:col>0</xdr:col>
      <xdr:colOff>1714500</xdr:colOff>
      <xdr:row>43</xdr:row>
      <xdr:rowOff>0</xdr:rowOff>
    </xdr:to>
    <xdr:sp macro="" textlink="">
      <xdr:nvSpPr>
        <xdr:cNvPr id="27898" name="Texte 28"/>
        <xdr:cNvSpPr txBox="1">
          <a:spLocks noChangeArrowheads="1"/>
        </xdr:cNvSpPr>
      </xdr:nvSpPr>
      <xdr:spPr bwMode="auto">
        <a:xfrm>
          <a:off x="1485900" y="6981825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7899" name="Texte 9"/>
        <xdr:cNvSpPr txBox="1">
          <a:spLocks noChangeArrowheads="1"/>
        </xdr:cNvSpPr>
      </xdr:nvSpPr>
      <xdr:spPr bwMode="auto">
        <a:xfrm>
          <a:off x="3343275" y="6981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7900" name="Texte 13"/>
        <xdr:cNvSpPr txBox="1">
          <a:spLocks noChangeArrowheads="1"/>
        </xdr:cNvSpPr>
      </xdr:nvSpPr>
      <xdr:spPr bwMode="auto">
        <a:xfrm>
          <a:off x="3343275" y="69818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9525</xdr:rowOff>
    </xdr:to>
    <xdr:sp macro="" textlink="">
      <xdr:nvSpPr>
        <xdr:cNvPr id="27901" name="Texte 9"/>
        <xdr:cNvSpPr txBox="1">
          <a:spLocks noChangeArrowheads="1"/>
        </xdr:cNvSpPr>
      </xdr:nvSpPr>
      <xdr:spPr bwMode="auto">
        <a:xfrm>
          <a:off x="3343275" y="3057525"/>
          <a:ext cx="0" cy="9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1514475</xdr:colOff>
      <xdr:row>53</xdr:row>
      <xdr:rowOff>0</xdr:rowOff>
    </xdr:from>
    <xdr:to>
      <xdr:col>0</xdr:col>
      <xdr:colOff>1743075</xdr:colOff>
      <xdr:row>53</xdr:row>
      <xdr:rowOff>0</xdr:rowOff>
    </xdr:to>
    <xdr:sp macro="" textlink="">
      <xdr:nvSpPr>
        <xdr:cNvPr id="27902" name="Texte 41"/>
        <xdr:cNvSpPr txBox="1">
          <a:spLocks noChangeArrowheads="1"/>
        </xdr:cNvSpPr>
      </xdr:nvSpPr>
      <xdr:spPr bwMode="auto">
        <a:xfrm>
          <a:off x="1514475" y="88392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1485900</xdr:colOff>
      <xdr:row>53</xdr:row>
      <xdr:rowOff>0</xdr:rowOff>
    </xdr:from>
    <xdr:to>
      <xdr:col>0</xdr:col>
      <xdr:colOff>1714500</xdr:colOff>
      <xdr:row>53</xdr:row>
      <xdr:rowOff>0</xdr:rowOff>
    </xdr:to>
    <xdr:sp macro="" textlink="">
      <xdr:nvSpPr>
        <xdr:cNvPr id="27903" name="Texte 28"/>
        <xdr:cNvSpPr txBox="1">
          <a:spLocks noChangeArrowheads="1"/>
        </xdr:cNvSpPr>
      </xdr:nvSpPr>
      <xdr:spPr bwMode="auto">
        <a:xfrm>
          <a:off x="1485900" y="8839200"/>
          <a:ext cx="228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27904" name="Texte 9"/>
        <xdr:cNvSpPr txBox="1">
          <a:spLocks noChangeArrowheads="1"/>
        </xdr:cNvSpPr>
      </xdr:nvSpPr>
      <xdr:spPr bwMode="auto">
        <a:xfrm>
          <a:off x="3343275" y="8839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27905" name="Texte 13"/>
        <xdr:cNvSpPr txBox="1">
          <a:spLocks noChangeArrowheads="1"/>
        </xdr:cNvSpPr>
      </xdr:nvSpPr>
      <xdr:spPr bwMode="auto">
        <a:xfrm>
          <a:off x="3343275" y="8839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59</xdr:row>
      <xdr:rowOff>0</xdr:rowOff>
    </xdr:from>
    <xdr:to>
      <xdr:col>1</xdr:col>
      <xdr:colOff>0</xdr:colOff>
      <xdr:row>59</xdr:row>
      <xdr:rowOff>0</xdr:rowOff>
    </xdr:to>
    <xdr:sp macro="" textlink="">
      <xdr:nvSpPr>
        <xdr:cNvPr id="27906" name="Texte 31"/>
        <xdr:cNvSpPr txBox="1">
          <a:spLocks noChangeArrowheads="1"/>
        </xdr:cNvSpPr>
      </xdr:nvSpPr>
      <xdr:spPr bwMode="auto">
        <a:xfrm>
          <a:off x="3343275" y="10125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15</xdr:row>
      <xdr:rowOff>0</xdr:rowOff>
    </xdr:from>
    <xdr:to>
      <xdr:col>3</xdr:col>
      <xdr:colOff>85725</xdr:colOff>
      <xdr:row>15</xdr:row>
      <xdr:rowOff>0</xdr:rowOff>
    </xdr:to>
    <xdr:sp macro="" textlink="">
      <xdr:nvSpPr>
        <xdr:cNvPr id="6948" name="Line 1"/>
        <xdr:cNvSpPr>
          <a:spLocks noChangeShapeType="1"/>
        </xdr:cNvSpPr>
      </xdr:nvSpPr>
      <xdr:spPr bwMode="auto">
        <a:xfrm>
          <a:off x="44386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1038225</xdr:colOff>
      <xdr:row>15</xdr:row>
      <xdr:rowOff>0</xdr:rowOff>
    </xdr:from>
    <xdr:to>
      <xdr:col>3</xdr:col>
      <xdr:colOff>876300</xdr:colOff>
      <xdr:row>15</xdr:row>
      <xdr:rowOff>0</xdr:rowOff>
    </xdr:to>
    <xdr:sp macro="" textlink="">
      <xdr:nvSpPr>
        <xdr:cNvPr id="6949" name="Line 2"/>
        <xdr:cNvSpPr>
          <a:spLocks noChangeShapeType="1"/>
        </xdr:cNvSpPr>
      </xdr:nvSpPr>
      <xdr:spPr bwMode="auto">
        <a:xfrm>
          <a:off x="52292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85725</xdr:colOff>
      <xdr:row>15</xdr:row>
      <xdr:rowOff>0</xdr:rowOff>
    </xdr:to>
    <xdr:sp macro="" textlink="">
      <xdr:nvSpPr>
        <xdr:cNvPr id="6950" name="Line 3"/>
        <xdr:cNvSpPr>
          <a:spLocks noChangeShapeType="1"/>
        </xdr:cNvSpPr>
      </xdr:nvSpPr>
      <xdr:spPr bwMode="auto">
        <a:xfrm>
          <a:off x="53149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1038225</xdr:colOff>
      <xdr:row>15</xdr:row>
      <xdr:rowOff>0</xdr:rowOff>
    </xdr:from>
    <xdr:to>
      <xdr:col>4</xdr:col>
      <xdr:colOff>914400</xdr:colOff>
      <xdr:row>15</xdr:row>
      <xdr:rowOff>0</xdr:rowOff>
    </xdr:to>
    <xdr:sp macro="" textlink="">
      <xdr:nvSpPr>
        <xdr:cNvPr id="6951" name="Line 4"/>
        <xdr:cNvSpPr>
          <a:spLocks noChangeShapeType="1"/>
        </xdr:cNvSpPr>
      </xdr:nvSpPr>
      <xdr:spPr bwMode="auto">
        <a:xfrm>
          <a:off x="61436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15</xdr:row>
      <xdr:rowOff>0</xdr:rowOff>
    </xdr:from>
    <xdr:to>
      <xdr:col>5</xdr:col>
      <xdr:colOff>85725</xdr:colOff>
      <xdr:row>15</xdr:row>
      <xdr:rowOff>0</xdr:rowOff>
    </xdr:to>
    <xdr:sp macro="" textlink="">
      <xdr:nvSpPr>
        <xdr:cNvPr id="6952" name="Line 5"/>
        <xdr:cNvSpPr>
          <a:spLocks noChangeShapeType="1"/>
        </xdr:cNvSpPr>
      </xdr:nvSpPr>
      <xdr:spPr bwMode="auto">
        <a:xfrm>
          <a:off x="62293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1038225</xdr:colOff>
      <xdr:row>15</xdr:row>
      <xdr:rowOff>0</xdr:rowOff>
    </xdr:from>
    <xdr:to>
      <xdr:col>5</xdr:col>
      <xdr:colOff>914400</xdr:colOff>
      <xdr:row>15</xdr:row>
      <xdr:rowOff>0</xdr:rowOff>
    </xdr:to>
    <xdr:sp macro="" textlink="">
      <xdr:nvSpPr>
        <xdr:cNvPr id="6953" name="Line 6"/>
        <xdr:cNvSpPr>
          <a:spLocks noChangeShapeType="1"/>
        </xdr:cNvSpPr>
      </xdr:nvSpPr>
      <xdr:spPr bwMode="auto">
        <a:xfrm>
          <a:off x="70580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85725</xdr:colOff>
      <xdr:row>15</xdr:row>
      <xdr:rowOff>0</xdr:rowOff>
    </xdr:to>
    <xdr:sp macro="" textlink="">
      <xdr:nvSpPr>
        <xdr:cNvPr id="6954" name="Line 7"/>
        <xdr:cNvSpPr>
          <a:spLocks noChangeShapeType="1"/>
        </xdr:cNvSpPr>
      </xdr:nvSpPr>
      <xdr:spPr bwMode="auto">
        <a:xfrm>
          <a:off x="53149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1038225</xdr:colOff>
      <xdr:row>15</xdr:row>
      <xdr:rowOff>0</xdr:rowOff>
    </xdr:from>
    <xdr:to>
      <xdr:col>4</xdr:col>
      <xdr:colOff>914400</xdr:colOff>
      <xdr:row>15</xdr:row>
      <xdr:rowOff>0</xdr:rowOff>
    </xdr:to>
    <xdr:sp macro="" textlink="">
      <xdr:nvSpPr>
        <xdr:cNvPr id="6955" name="Line 8"/>
        <xdr:cNvSpPr>
          <a:spLocks noChangeShapeType="1"/>
        </xdr:cNvSpPr>
      </xdr:nvSpPr>
      <xdr:spPr bwMode="auto">
        <a:xfrm>
          <a:off x="61436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15</xdr:row>
      <xdr:rowOff>0</xdr:rowOff>
    </xdr:from>
    <xdr:to>
      <xdr:col>5</xdr:col>
      <xdr:colOff>85725</xdr:colOff>
      <xdr:row>15</xdr:row>
      <xdr:rowOff>0</xdr:rowOff>
    </xdr:to>
    <xdr:sp macro="" textlink="">
      <xdr:nvSpPr>
        <xdr:cNvPr id="6956" name="Line 9"/>
        <xdr:cNvSpPr>
          <a:spLocks noChangeShapeType="1"/>
        </xdr:cNvSpPr>
      </xdr:nvSpPr>
      <xdr:spPr bwMode="auto">
        <a:xfrm>
          <a:off x="6229350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1038225</xdr:colOff>
      <xdr:row>15</xdr:row>
      <xdr:rowOff>0</xdr:rowOff>
    </xdr:from>
    <xdr:to>
      <xdr:col>5</xdr:col>
      <xdr:colOff>914400</xdr:colOff>
      <xdr:row>15</xdr:row>
      <xdr:rowOff>0</xdr:rowOff>
    </xdr:to>
    <xdr:sp macro="" textlink="">
      <xdr:nvSpPr>
        <xdr:cNvPr id="6957" name="Line 10"/>
        <xdr:cNvSpPr>
          <a:spLocks noChangeShapeType="1"/>
        </xdr:cNvSpPr>
      </xdr:nvSpPr>
      <xdr:spPr bwMode="auto">
        <a:xfrm>
          <a:off x="705802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31</xdr:row>
      <xdr:rowOff>123825</xdr:rowOff>
    </xdr:from>
    <xdr:to>
      <xdr:col>7</xdr:col>
      <xdr:colOff>0</xdr:colOff>
      <xdr:row>31</xdr:row>
      <xdr:rowOff>123825</xdr:rowOff>
    </xdr:to>
    <xdr:sp macro="" textlink="">
      <xdr:nvSpPr>
        <xdr:cNvPr id="6958" name="Line 25"/>
        <xdr:cNvSpPr>
          <a:spLocks noChangeShapeType="1"/>
        </xdr:cNvSpPr>
      </xdr:nvSpPr>
      <xdr:spPr bwMode="auto">
        <a:xfrm flipH="1">
          <a:off x="7153275" y="84391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24</xdr:row>
      <xdr:rowOff>152400</xdr:rowOff>
    </xdr:from>
    <xdr:to>
      <xdr:col>2</xdr:col>
      <xdr:colOff>523875</xdr:colOff>
      <xdr:row>24</xdr:row>
      <xdr:rowOff>152400</xdr:rowOff>
    </xdr:to>
    <xdr:sp macro="" textlink="">
      <xdr:nvSpPr>
        <xdr:cNvPr id="7315" name="Line 1"/>
        <xdr:cNvSpPr>
          <a:spLocks noChangeShapeType="1"/>
        </xdr:cNvSpPr>
      </xdr:nvSpPr>
      <xdr:spPr bwMode="auto">
        <a:xfrm>
          <a:off x="2324100" y="485775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523875</xdr:colOff>
      <xdr:row>17</xdr:row>
      <xdr:rowOff>152400</xdr:rowOff>
    </xdr:from>
    <xdr:to>
      <xdr:col>2</xdr:col>
      <xdr:colOff>523875</xdr:colOff>
      <xdr:row>24</xdr:row>
      <xdr:rowOff>152400</xdr:rowOff>
    </xdr:to>
    <xdr:sp macro="" textlink="">
      <xdr:nvSpPr>
        <xdr:cNvPr id="7316" name="Line 3"/>
        <xdr:cNvSpPr>
          <a:spLocks noChangeShapeType="1"/>
        </xdr:cNvSpPr>
      </xdr:nvSpPr>
      <xdr:spPr bwMode="auto">
        <a:xfrm flipV="1">
          <a:off x="3600450" y="3629025"/>
          <a:ext cx="0" cy="1228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11</xdr:row>
      <xdr:rowOff>0</xdr:rowOff>
    </xdr:from>
    <xdr:to>
      <xdr:col>5</xdr:col>
      <xdr:colOff>723900</xdr:colOff>
      <xdr:row>16</xdr:row>
      <xdr:rowOff>0</xdr:rowOff>
    </xdr:to>
    <xdr:sp macro="" textlink="">
      <xdr:nvSpPr>
        <xdr:cNvPr id="1098" name="AutoShape 7"/>
        <xdr:cNvSpPr>
          <a:spLocks/>
        </xdr:cNvSpPr>
      </xdr:nvSpPr>
      <xdr:spPr bwMode="auto">
        <a:xfrm>
          <a:off x="6667500" y="2724150"/>
          <a:ext cx="409575" cy="1238250"/>
        </a:xfrm>
        <a:prstGeom prst="leftBrace">
          <a:avLst>
            <a:gd name="adj1" fmla="val 2519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3</xdr:row>
      <xdr:rowOff>104775</xdr:rowOff>
    </xdr:from>
    <xdr:to>
      <xdr:col>7</xdr:col>
      <xdr:colOff>400050</xdr:colOff>
      <xdr:row>4</xdr:row>
      <xdr:rowOff>133350</xdr:rowOff>
    </xdr:to>
    <xdr:sp macro="" textlink="">
      <xdr:nvSpPr>
        <xdr:cNvPr id="8339" name="Line 1"/>
        <xdr:cNvSpPr>
          <a:spLocks noChangeShapeType="1"/>
        </xdr:cNvSpPr>
      </xdr:nvSpPr>
      <xdr:spPr bwMode="auto">
        <a:xfrm>
          <a:off x="4886325" y="895350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390525</xdr:colOff>
      <xdr:row>3</xdr:row>
      <xdr:rowOff>85725</xdr:rowOff>
    </xdr:from>
    <xdr:to>
      <xdr:col>7</xdr:col>
      <xdr:colOff>400050</xdr:colOff>
      <xdr:row>3</xdr:row>
      <xdr:rowOff>85725</xdr:rowOff>
    </xdr:to>
    <xdr:sp macro="" textlink="">
      <xdr:nvSpPr>
        <xdr:cNvPr id="8340" name="Line 2"/>
        <xdr:cNvSpPr>
          <a:spLocks noChangeShapeType="1"/>
        </xdr:cNvSpPr>
      </xdr:nvSpPr>
      <xdr:spPr bwMode="auto">
        <a:xfrm>
          <a:off x="2886075" y="876300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../../Documents/3.%20GESTION/1.%20Devis/2014/DEV1401-006.docx" TargetMode="External"/><Relationship Id="rId2" Type="http://schemas.openxmlformats.org/officeDocument/2006/relationships/hyperlink" Target="../../../../../Documents/3.%20GESTION/1.%20Devis/2014/DEV1401-006.docx" TargetMode="External"/><Relationship Id="rId1" Type="http://schemas.openxmlformats.org/officeDocument/2006/relationships/hyperlink" Target="../../../../../../../../Documents/3.%20GESTION/1.%20Devis/2014/DEV1401-006.doc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D9:E12"/>
  <sheetViews>
    <sheetView workbookViewId="0">
      <selection activeCell="L34" sqref="L34"/>
    </sheetView>
  </sheetViews>
  <sheetFormatPr baseColWidth="10" defaultRowHeight="12.75"/>
  <sheetData>
    <row r="9" spans="4:5" ht="15">
      <c r="E9" s="500"/>
    </row>
    <row r="12" spans="4:5" ht="15">
      <c r="D12" s="500"/>
    </row>
  </sheetData>
  <pageMargins left="0.7" right="0.7" top="0.75" bottom="0.75" header="0.3" footer="0.3"/>
  <pageSetup paperSize="9" orientation="portrait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9" enableFormatConditionsCalculation="0">
    <tabColor theme="8" tint="0.39997558519241921"/>
  </sheetPr>
  <dimension ref="A1:E25"/>
  <sheetViews>
    <sheetView zoomScale="75" workbookViewId="0">
      <selection activeCell="E18" sqref="E18"/>
    </sheetView>
  </sheetViews>
  <sheetFormatPr baseColWidth="10" defaultRowHeight="12.75"/>
  <cols>
    <col min="1" max="1" width="34.7109375" customWidth="1"/>
    <col min="3" max="3" width="14.28515625" customWidth="1"/>
    <col min="4" max="4" width="15" customWidth="1"/>
    <col min="5" max="5" width="14.85546875" customWidth="1"/>
  </cols>
  <sheetData>
    <row r="1" spans="1:5" ht="13.5" thickBot="1"/>
    <row r="2" spans="1:5" ht="23.25" thickBot="1">
      <c r="A2" s="318" t="s">
        <v>277</v>
      </c>
      <c r="B2" s="319"/>
      <c r="C2" s="285"/>
      <c r="D2" s="285"/>
      <c r="E2" s="286"/>
    </row>
    <row r="4" spans="1:5" ht="15">
      <c r="A4" s="376" t="s">
        <v>412</v>
      </c>
    </row>
    <row r="8" spans="1:5" ht="18">
      <c r="A8" s="311"/>
      <c r="B8" s="312"/>
      <c r="C8" s="315" t="s">
        <v>49</v>
      </c>
      <c r="D8" s="315" t="s">
        <v>50</v>
      </c>
      <c r="E8" s="315" t="s">
        <v>51</v>
      </c>
    </row>
    <row r="9" spans="1:5" ht="16.5">
      <c r="A9" s="482" t="s">
        <v>278</v>
      </c>
      <c r="B9" s="314"/>
      <c r="C9" s="101">
        <f>'3.0 Compte de résultat'!D34</f>
        <v>0</v>
      </c>
      <c r="D9" s="101">
        <f>'3.0 Compte de résultat'!E34</f>
        <v>0</v>
      </c>
      <c r="E9" s="101">
        <f>'3.0 Compte de résultat'!F34</f>
        <v>0</v>
      </c>
    </row>
    <row r="10" spans="1:5" ht="16.5">
      <c r="A10" s="482"/>
      <c r="B10" s="314"/>
      <c r="C10" s="97"/>
      <c r="D10" s="94"/>
      <c r="E10" s="94"/>
    </row>
    <row r="11" spans="1:5" ht="16.5">
      <c r="A11" s="482" t="s">
        <v>59</v>
      </c>
      <c r="B11" s="314"/>
      <c r="C11" s="100">
        <f>'3.0 Compte de résultat'!D20</f>
        <v>0</v>
      </c>
      <c r="D11" s="100">
        <f>'3.0 Compte de résultat'!E20</f>
        <v>0</v>
      </c>
      <c r="E11" s="100">
        <f>'3.0 Compte de résultat'!F20</f>
        <v>0</v>
      </c>
    </row>
    <row r="12" spans="1:5" ht="16.5">
      <c r="A12" s="313"/>
      <c r="B12" s="314"/>
      <c r="C12" s="97" t="s">
        <v>0</v>
      </c>
      <c r="D12" s="97"/>
      <c r="E12" s="97"/>
    </row>
    <row r="13" spans="1:5" ht="16.5">
      <c r="A13" s="313"/>
      <c r="B13" s="314"/>
      <c r="C13" s="97"/>
      <c r="D13" s="97"/>
      <c r="E13" s="97"/>
    </row>
    <row r="14" spans="1:5" ht="19.5">
      <c r="A14" s="316" t="s">
        <v>279</v>
      </c>
      <c r="B14" s="317"/>
      <c r="C14" s="310">
        <f>C9+C11</f>
        <v>0</v>
      </c>
      <c r="D14" s="310">
        <f>D9+D11</f>
        <v>0</v>
      </c>
      <c r="E14" s="310">
        <f>E9+E11</f>
        <v>0</v>
      </c>
    </row>
    <row r="15" spans="1:5" ht="16.5">
      <c r="A15" s="313"/>
      <c r="B15" s="314"/>
      <c r="C15" s="97"/>
      <c r="D15" s="97"/>
      <c r="E15" s="97"/>
    </row>
    <row r="16" spans="1:5" ht="16.5">
      <c r="A16" s="313"/>
      <c r="B16" s="314"/>
      <c r="C16" s="270"/>
      <c r="D16" s="270"/>
      <c r="E16" s="270"/>
    </row>
    <row r="17" spans="1:5" ht="18">
      <c r="A17" s="847" t="s">
        <v>286</v>
      </c>
      <c r="B17" s="848"/>
      <c r="C17" s="310">
        <f>'3,131 int emprunts'!E9+'3,131 int emprunts'!L9+'3,131 int emprunts'!L23+'3,131 int emprunts'!E23</f>
        <v>0</v>
      </c>
      <c r="D17" s="310">
        <f>'3,131 int emprunts'!E10+'3,131 int emprunts'!L10+'3,131 int emprunts'!L24+'3,131 int emprunts'!E24</f>
        <v>0</v>
      </c>
      <c r="E17" s="310">
        <f>'3,131 int emprunts'!E11+'3,131 int emprunts'!L11+'3,131 int emprunts'!L25+'3,131 int emprunts'!E25</f>
        <v>0</v>
      </c>
    </row>
    <row r="19" spans="1:5" ht="20.100000000000001" customHeight="1">
      <c r="A19" s="847" t="s">
        <v>496</v>
      </c>
      <c r="B19" s="848"/>
      <c r="C19" s="657" t="e">
        <f>C14/C17</f>
        <v>#DIV/0!</v>
      </c>
      <c r="D19" s="657" t="e">
        <f>D14/D17</f>
        <v>#DIV/0!</v>
      </c>
      <c r="E19" s="657" t="e">
        <f>E14/E17</f>
        <v>#DIV/0!</v>
      </c>
    </row>
    <row r="24" spans="1:5" ht="13.5" thickBot="1"/>
    <row r="25" spans="1:5" ht="24.75" customHeight="1" thickBot="1">
      <c r="A25" s="481" t="str">
        <f>IF(C14&gt;C17*2," CAF OK ","ATTENTION CAF INSUFFISANTE !")</f>
        <v>ATTENTION CAF INSUFFISANTE !</v>
      </c>
      <c r="B25" s="458"/>
    </row>
  </sheetData>
  <mergeCells count="2">
    <mergeCell ref="A19:B19"/>
    <mergeCell ref="A17:B17"/>
  </mergeCells>
  <phoneticPr fontId="0" type="noConversion"/>
  <pageMargins left="0.59055118110236227" right="0.59055118110236227" top="0.98425196850393704" bottom="0.98425196850393704" header="0.51181102362204722" footer="0.51181102362204722"/>
  <pageSetup paperSize="9" orientation="portrait" horizontalDpi="4294967292" r:id="rId1"/>
  <headerFooter alignWithMargins="0">
    <oddHeader>&amp;R3,01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11" enableFormatConditionsCalculation="0">
    <tabColor indexed="50"/>
  </sheetPr>
  <dimension ref="A1:K97"/>
  <sheetViews>
    <sheetView topLeftCell="A28" zoomScale="75" zoomScaleNormal="75" workbookViewId="0">
      <selection activeCell="G6" sqref="G6:G11"/>
    </sheetView>
  </sheetViews>
  <sheetFormatPr baseColWidth="10" defaultRowHeight="15.75"/>
  <cols>
    <col min="1" max="1" width="51.140625" style="28" bestFit="1" customWidth="1"/>
    <col min="2" max="2" width="7.28515625" style="3" customWidth="1"/>
    <col min="3" max="5" width="12.28515625" style="42" customWidth="1"/>
    <col min="6" max="10" width="11.42578125" style="69"/>
    <col min="11" max="16384" width="11.42578125" style="28"/>
  </cols>
  <sheetData>
    <row r="1" spans="1:11" ht="20.100000000000001" customHeight="1">
      <c r="A1" s="792" t="s">
        <v>453</v>
      </c>
      <c r="B1" s="793"/>
      <c r="C1" s="793"/>
      <c r="D1" s="793"/>
      <c r="E1" s="794"/>
    </row>
    <row r="2" spans="1:11" ht="20.100000000000001" customHeight="1">
      <c r="A2" s="301" t="str">
        <f>'1.0 Plan de financement'!A3:C3</f>
        <v>NOM DOSSIER</v>
      </c>
      <c r="B2" s="133"/>
      <c r="C2" s="120"/>
      <c r="D2" s="120"/>
      <c r="E2" s="120"/>
    </row>
    <row r="3" spans="1:11" ht="20.100000000000001" customHeight="1">
      <c r="A3" s="121"/>
      <c r="B3" s="134"/>
      <c r="C3" s="246" t="s">
        <v>49</v>
      </c>
      <c r="D3" s="246" t="s">
        <v>65</v>
      </c>
      <c r="E3" s="247" t="s">
        <v>51</v>
      </c>
      <c r="F3" s="617"/>
      <c r="G3" s="617"/>
    </row>
    <row r="4" spans="1:11" ht="20.100000000000001" customHeight="1">
      <c r="A4" s="330" t="s">
        <v>287</v>
      </c>
      <c r="B4" s="331"/>
      <c r="C4" s="332"/>
      <c r="D4" s="332"/>
      <c r="E4" s="332"/>
      <c r="F4" s="617"/>
      <c r="G4" s="617"/>
    </row>
    <row r="5" spans="1:11" ht="20.100000000000001" customHeight="1">
      <c r="A5" s="576" t="s">
        <v>66</v>
      </c>
      <c r="B5" s="565"/>
      <c r="C5" s="571"/>
      <c r="D5" s="571"/>
      <c r="E5" s="572"/>
      <c r="F5" s="617"/>
      <c r="G5" s="617"/>
    </row>
    <row r="6" spans="1:11" ht="20.100000000000001" customHeight="1">
      <c r="A6" s="576" t="s">
        <v>425</v>
      </c>
      <c r="B6" s="656"/>
      <c r="C6" s="571"/>
      <c r="D6" s="571"/>
      <c r="E6" s="572"/>
      <c r="F6" s="617"/>
      <c r="G6" s="617"/>
    </row>
    <row r="7" spans="1:11" ht="20.100000000000001" customHeight="1">
      <c r="A7" s="576" t="s">
        <v>424</v>
      </c>
      <c r="B7" s="565"/>
      <c r="C7" s="571"/>
      <c r="D7" s="571"/>
      <c r="E7" s="572"/>
      <c r="F7" s="617"/>
      <c r="G7" s="617"/>
    </row>
    <row r="8" spans="1:11" ht="20.100000000000001" customHeight="1">
      <c r="A8" s="576" t="s">
        <v>67</v>
      </c>
      <c r="B8" s="565"/>
      <c r="C8" s="571"/>
      <c r="D8" s="571"/>
      <c r="E8" s="572"/>
      <c r="F8" s="617"/>
      <c r="G8" s="618"/>
      <c r="H8" s="465"/>
      <c r="I8" s="465"/>
      <c r="J8" s="465"/>
    </row>
    <row r="9" spans="1:11" ht="20.100000000000001" customHeight="1">
      <c r="A9" s="576" t="s">
        <v>68</v>
      </c>
      <c r="B9" s="565"/>
      <c r="C9" s="571"/>
      <c r="D9" s="571"/>
      <c r="E9" s="572"/>
      <c r="F9" s="617"/>
      <c r="G9" s="618"/>
      <c r="H9" s="465"/>
      <c r="I9" s="465"/>
      <c r="J9" s="465"/>
    </row>
    <row r="10" spans="1:11" ht="20.100000000000001" customHeight="1">
      <c r="A10" s="576" t="s">
        <v>69</v>
      </c>
      <c r="B10" s="565"/>
      <c r="C10" s="571"/>
      <c r="D10" s="571"/>
      <c r="E10" s="572"/>
      <c r="F10" s="617"/>
      <c r="G10" s="618"/>
      <c r="H10" s="465"/>
      <c r="I10" s="465"/>
      <c r="J10" s="465"/>
    </row>
    <row r="11" spans="1:11" ht="20.100000000000001" customHeight="1">
      <c r="A11" s="573" t="s">
        <v>70</v>
      </c>
      <c r="B11" s="574"/>
      <c r="C11" s="571"/>
      <c r="D11" s="571"/>
      <c r="E11" s="572"/>
      <c r="F11" s="617"/>
      <c r="G11" s="618"/>
      <c r="H11" s="465"/>
      <c r="I11" s="465"/>
      <c r="J11" s="465"/>
    </row>
    <row r="12" spans="1:11" s="29" customFormat="1" ht="20.100000000000001" customHeight="1">
      <c r="A12" s="325" t="s">
        <v>19</v>
      </c>
      <c r="B12" s="326"/>
      <c r="C12" s="124">
        <f>SUM(C5:C11)</f>
        <v>0</v>
      </c>
      <c r="D12" s="124">
        <f>SUM(D5:D11)</f>
        <v>0</v>
      </c>
      <c r="E12" s="124">
        <f>SUM(E5:E11)</f>
        <v>0</v>
      </c>
      <c r="F12" s="619"/>
      <c r="G12" s="620" t="s">
        <v>433</v>
      </c>
      <c r="H12" s="437"/>
      <c r="I12" s="437"/>
      <c r="J12" s="438"/>
    </row>
    <row r="13" spans="1:11" s="29" customFormat="1" ht="20.100000000000001" customHeight="1" thickBot="1">
      <c r="A13" s="327" t="s">
        <v>288</v>
      </c>
      <c r="B13" s="328"/>
      <c r="C13" s="329"/>
      <c r="D13" s="329"/>
      <c r="E13" s="329"/>
      <c r="F13" s="619"/>
      <c r="G13" s="621" t="s">
        <v>334</v>
      </c>
      <c r="H13" s="439"/>
      <c r="I13" s="439"/>
      <c r="J13" s="440"/>
    </row>
    <row r="14" spans="1:11" s="29" customFormat="1" ht="20.100000000000001" customHeight="1" thickBot="1">
      <c r="A14" s="576" t="s">
        <v>426</v>
      </c>
      <c r="B14" s="565"/>
      <c r="C14" s="127">
        <f>('1.1 Détails Investissements'!H43+'1.1 Détails Investissements'!H29)*J14*12</f>
        <v>0</v>
      </c>
      <c r="D14" s="122"/>
      <c r="E14" s="123"/>
      <c r="F14" s="619"/>
      <c r="G14" s="621" t="s">
        <v>467</v>
      </c>
      <c r="H14" s="439"/>
      <c r="I14" s="439"/>
      <c r="J14" s="485">
        <v>2.128E-2</v>
      </c>
      <c r="K14" s="29" t="s">
        <v>468</v>
      </c>
    </row>
    <row r="15" spans="1:11" s="29" customFormat="1" ht="20.100000000000001" customHeight="1">
      <c r="A15" s="576" t="s">
        <v>475</v>
      </c>
      <c r="B15" s="565"/>
      <c r="C15" s="571"/>
      <c r="D15" s="571"/>
      <c r="E15" s="571"/>
      <c r="F15" s="619"/>
      <c r="G15" s="621" t="s">
        <v>335</v>
      </c>
      <c r="H15" s="439"/>
      <c r="I15" s="439"/>
      <c r="J15" s="440"/>
      <c r="K15" s="29" t="s">
        <v>469</v>
      </c>
    </row>
    <row r="16" spans="1:11" s="29" customFormat="1" ht="20.100000000000001" customHeight="1">
      <c r="A16" s="576" t="s">
        <v>172</v>
      </c>
      <c r="B16" s="565"/>
      <c r="C16" s="571"/>
      <c r="D16" s="571"/>
      <c r="E16" s="572"/>
      <c r="F16" s="622"/>
      <c r="G16" s="623" t="s">
        <v>340</v>
      </c>
      <c r="H16" s="441"/>
      <c r="I16" s="441"/>
      <c r="J16" s="442"/>
    </row>
    <row r="17" spans="1:10" s="29" customFormat="1" ht="20.100000000000001" customHeight="1">
      <c r="A17" s="576" t="s">
        <v>427</v>
      </c>
      <c r="B17" s="565"/>
      <c r="C17" s="571"/>
      <c r="D17" s="571"/>
      <c r="E17" s="571"/>
      <c r="F17" s="622"/>
      <c r="G17" s="618"/>
      <c r="H17" s="406"/>
      <c r="I17" s="466"/>
      <c r="J17"/>
    </row>
    <row r="18" spans="1:10" s="29" customFormat="1" ht="20.100000000000001" customHeight="1">
      <c r="A18" s="576" t="s">
        <v>428</v>
      </c>
      <c r="B18" s="565"/>
      <c r="C18" s="571"/>
      <c r="D18" s="571"/>
      <c r="E18" s="571"/>
      <c r="F18" s="622"/>
      <c r="G18" s="618"/>
      <c r="H18" s="406"/>
      <c r="I18" s="466"/>
      <c r="J18"/>
    </row>
    <row r="19" spans="1:10" s="29" customFormat="1" ht="20.100000000000001" customHeight="1">
      <c r="A19" s="576" t="s">
        <v>430</v>
      </c>
      <c r="B19" s="565"/>
      <c r="C19" s="571"/>
      <c r="D19" s="571"/>
      <c r="E19" s="572"/>
      <c r="F19" s="622"/>
      <c r="G19" s="618"/>
      <c r="H19" s="406"/>
      <c r="I19" s="466"/>
      <c r="J19"/>
    </row>
    <row r="20" spans="1:10" s="29" customFormat="1" ht="20.100000000000001" customHeight="1">
      <c r="A20" s="576" t="s">
        <v>72</v>
      </c>
      <c r="B20" s="565"/>
      <c r="C20" s="571"/>
      <c r="D20" s="571"/>
      <c r="E20" s="572"/>
      <c r="F20" s="619"/>
      <c r="G20" s="619"/>
      <c r="H20" s="158"/>
      <c r="I20" s="158"/>
      <c r="J20" s="158"/>
    </row>
    <row r="21" spans="1:10" s="29" customFormat="1" ht="20.100000000000001" customHeight="1">
      <c r="A21" s="576" t="s">
        <v>73</v>
      </c>
      <c r="B21" s="565"/>
      <c r="C21" s="571"/>
      <c r="D21" s="571"/>
      <c r="E21" s="572"/>
      <c r="F21" s="619"/>
      <c r="G21" s="619"/>
      <c r="H21" s="158"/>
      <c r="I21" s="158"/>
      <c r="J21" s="158"/>
    </row>
    <row r="22" spans="1:10" s="29" customFormat="1" ht="20.100000000000001" customHeight="1">
      <c r="A22" s="577" t="s">
        <v>429</v>
      </c>
      <c r="B22" s="565"/>
      <c r="C22" s="571"/>
      <c r="D22" s="571"/>
      <c r="E22" s="572"/>
      <c r="F22" s="619"/>
      <c r="G22" s="619"/>
      <c r="H22" s="158"/>
      <c r="I22" s="158"/>
      <c r="J22" s="158"/>
    </row>
    <row r="23" spans="1:10" s="29" customFormat="1" ht="20.100000000000001" customHeight="1">
      <c r="A23" s="573" t="s">
        <v>70</v>
      </c>
      <c r="B23" s="574"/>
      <c r="C23" s="571"/>
      <c r="D23" s="571"/>
      <c r="E23" s="572"/>
      <c r="F23" s="619"/>
      <c r="G23" s="619"/>
      <c r="H23" s="158"/>
      <c r="I23" s="158"/>
      <c r="J23" s="158"/>
    </row>
    <row r="24" spans="1:10" s="29" customFormat="1" ht="20.100000000000001" customHeight="1">
      <c r="A24" s="325" t="s">
        <v>19</v>
      </c>
      <c r="B24" s="326"/>
      <c r="C24" s="124">
        <f>SUM(C14:C23)</f>
        <v>0</v>
      </c>
      <c r="D24" s="124">
        <f>SUM(D16:D23)</f>
        <v>0</v>
      </c>
      <c r="E24" s="124">
        <f>SUM(E16:E23)</f>
        <v>0</v>
      </c>
      <c r="F24" s="619"/>
      <c r="G24" s="619"/>
      <c r="H24" s="158"/>
      <c r="I24" s="158"/>
      <c r="J24" s="158"/>
    </row>
    <row r="25" spans="1:10" s="29" customFormat="1" ht="20.100000000000001" customHeight="1">
      <c r="A25" s="327" t="s">
        <v>289</v>
      </c>
      <c r="B25" s="328"/>
      <c r="C25" s="329"/>
      <c r="D25" s="329"/>
      <c r="E25" s="329"/>
      <c r="F25" s="619"/>
      <c r="G25" s="619"/>
      <c r="H25" s="158"/>
      <c r="I25" s="158"/>
      <c r="J25" s="158"/>
    </row>
    <row r="26" spans="1:10" s="29" customFormat="1" ht="20.100000000000001" customHeight="1">
      <c r="A26" s="576" t="s">
        <v>431</v>
      </c>
      <c r="B26" s="565"/>
      <c r="C26" s="571"/>
      <c r="D26" s="571"/>
      <c r="E26" s="572"/>
      <c r="F26" s="619"/>
      <c r="G26" s="619"/>
      <c r="H26" s="158"/>
      <c r="I26" s="158"/>
      <c r="J26" s="158"/>
    </row>
    <row r="27" spans="1:10" s="29" customFormat="1" ht="20.100000000000001" customHeight="1">
      <c r="A27" s="576" t="s">
        <v>193</v>
      </c>
      <c r="B27" s="565"/>
      <c r="C27" s="571"/>
      <c r="D27" s="571"/>
      <c r="E27" s="572"/>
      <c r="F27" s="619"/>
      <c r="G27" s="619"/>
      <c r="H27" s="158"/>
      <c r="I27" s="158"/>
      <c r="J27" s="158"/>
    </row>
    <row r="28" spans="1:10" s="29" customFormat="1" ht="20.100000000000001" customHeight="1">
      <c r="A28" s="576" t="s">
        <v>74</v>
      </c>
      <c r="B28" s="565"/>
      <c r="C28" s="571"/>
      <c r="D28" s="571"/>
      <c r="E28" s="572"/>
      <c r="F28" s="619"/>
      <c r="G28" s="619"/>
      <c r="H28" s="158"/>
      <c r="I28" s="158"/>
      <c r="J28" s="158"/>
    </row>
    <row r="29" spans="1:10" s="29" customFormat="1" ht="20.100000000000001" customHeight="1">
      <c r="A29" s="576" t="s">
        <v>432</v>
      </c>
      <c r="B29" s="565"/>
      <c r="C29" s="571"/>
      <c r="D29" s="571"/>
      <c r="E29" s="572"/>
      <c r="F29" s="619"/>
      <c r="G29" s="619"/>
      <c r="H29" s="158"/>
      <c r="I29" s="158"/>
      <c r="J29" s="158"/>
    </row>
    <row r="30" spans="1:10" s="29" customFormat="1" ht="20.100000000000001" customHeight="1">
      <c r="A30" s="576" t="s">
        <v>75</v>
      </c>
      <c r="B30" s="565"/>
      <c r="C30" s="571"/>
      <c r="D30" s="571"/>
      <c r="E30" s="572"/>
      <c r="F30" s="619"/>
      <c r="G30" s="619"/>
      <c r="H30" s="158"/>
      <c r="I30" s="158"/>
      <c r="J30" s="158"/>
    </row>
    <row r="31" spans="1:10" s="29" customFormat="1" ht="20.100000000000001" customHeight="1">
      <c r="A31" s="576" t="s">
        <v>76</v>
      </c>
      <c r="B31" s="565"/>
      <c r="C31" s="571"/>
      <c r="D31" s="571"/>
      <c r="E31" s="572"/>
      <c r="F31" s="619"/>
      <c r="G31" s="619"/>
      <c r="H31" s="158"/>
      <c r="I31" s="158"/>
      <c r="J31" s="158"/>
    </row>
    <row r="32" spans="1:10" s="29" customFormat="1" ht="20.100000000000001" customHeight="1">
      <c r="A32" s="576" t="s">
        <v>77</v>
      </c>
      <c r="B32" s="565"/>
      <c r="C32" s="571"/>
      <c r="D32" s="571"/>
      <c r="E32" s="572"/>
      <c r="F32" s="619"/>
      <c r="G32" s="619"/>
      <c r="H32" s="158"/>
      <c r="I32" s="158"/>
      <c r="J32" s="158"/>
    </row>
    <row r="33" spans="1:10" s="29" customFormat="1" ht="20.100000000000001" customHeight="1">
      <c r="A33" s="576" t="s">
        <v>78</v>
      </c>
      <c r="B33" s="565"/>
      <c r="C33" s="571"/>
      <c r="D33" s="571"/>
      <c r="E33" s="571"/>
      <c r="F33" s="619"/>
      <c r="G33" s="619"/>
      <c r="H33" s="158"/>
      <c r="I33" s="158"/>
      <c r="J33" s="158"/>
    </row>
    <row r="34" spans="1:10" s="29" customFormat="1" ht="20.100000000000001" customHeight="1">
      <c r="A34" s="576" t="s">
        <v>79</v>
      </c>
      <c r="B34" s="565"/>
      <c r="C34" s="571"/>
      <c r="D34" s="571"/>
      <c r="E34" s="572"/>
      <c r="F34" s="619"/>
      <c r="G34" s="619" t="s">
        <v>501</v>
      </c>
      <c r="H34" s="158"/>
      <c r="I34" s="158"/>
      <c r="J34" s="158"/>
    </row>
    <row r="35" spans="1:10" s="29" customFormat="1" ht="20.100000000000001" customHeight="1">
      <c r="A35" s="576" t="s">
        <v>80</v>
      </c>
      <c r="B35" s="565"/>
      <c r="C35" s="571"/>
      <c r="D35" s="571"/>
      <c r="E35" s="572"/>
      <c r="F35" s="619"/>
      <c r="G35" s="619"/>
      <c r="H35" s="158"/>
      <c r="I35" s="158"/>
      <c r="J35" s="158"/>
    </row>
    <row r="36" spans="1:10" s="29" customFormat="1" ht="20.100000000000001" customHeight="1">
      <c r="A36" s="576" t="s">
        <v>173</v>
      </c>
      <c r="B36" s="565"/>
      <c r="C36" s="571"/>
      <c r="D36" s="571"/>
      <c r="E36" s="572"/>
      <c r="F36" s="619"/>
      <c r="G36" s="619"/>
      <c r="H36" s="158"/>
      <c r="I36" s="158"/>
      <c r="J36" s="158"/>
    </row>
    <row r="37" spans="1:10" s="29" customFormat="1" ht="20.100000000000001" customHeight="1">
      <c r="A37" s="576" t="s">
        <v>81</v>
      </c>
      <c r="B37" s="565"/>
      <c r="C37" s="571"/>
      <c r="D37" s="571"/>
      <c r="E37" s="572"/>
      <c r="F37" s="619"/>
      <c r="G37" s="619"/>
      <c r="H37" s="158"/>
      <c r="I37" s="158"/>
      <c r="J37" s="158"/>
    </row>
    <row r="38" spans="1:10" s="29" customFormat="1" ht="20.100000000000001" customHeight="1">
      <c r="A38" s="573" t="s">
        <v>71</v>
      </c>
      <c r="B38" s="565"/>
      <c r="C38" s="571"/>
      <c r="D38" s="571"/>
      <c r="E38" s="572"/>
      <c r="F38" s="619"/>
      <c r="G38" s="619"/>
      <c r="H38" s="158"/>
      <c r="I38" s="158"/>
      <c r="J38" s="158"/>
    </row>
    <row r="39" spans="1:10" s="29" customFormat="1" ht="20.100000000000001" customHeight="1">
      <c r="A39" s="325" t="s">
        <v>19</v>
      </c>
      <c r="B39" s="326"/>
      <c r="C39" s="124">
        <f>SUM(C27:C38)</f>
        <v>0</v>
      </c>
      <c r="D39" s="124">
        <f>SUM(D27:D38)</f>
        <v>0</v>
      </c>
      <c r="E39" s="124">
        <f>SUM(E27:E38)</f>
        <v>0</v>
      </c>
      <c r="F39" s="619"/>
      <c r="G39" s="619"/>
      <c r="H39" s="158"/>
      <c r="I39" s="158"/>
      <c r="J39" s="158"/>
    </row>
    <row r="40" spans="1:10" s="29" customFormat="1" ht="20.100000000000001" customHeight="1">
      <c r="A40" s="483"/>
      <c r="B40" s="484"/>
      <c r="C40" s="488"/>
      <c r="D40" s="488"/>
      <c r="E40" s="489"/>
      <c r="F40" s="619"/>
      <c r="G40" s="619"/>
      <c r="H40" s="158"/>
      <c r="I40" s="158"/>
      <c r="J40" s="158"/>
    </row>
    <row r="41" spans="1:10" s="29" customFormat="1" ht="20.100000000000001" customHeight="1">
      <c r="A41" s="849" t="s">
        <v>454</v>
      </c>
      <c r="B41" s="850"/>
      <c r="C41" s="850"/>
      <c r="D41" s="850"/>
      <c r="E41" s="851"/>
      <c r="F41" s="619"/>
      <c r="G41" s="619"/>
      <c r="H41" s="158"/>
      <c r="I41" s="158"/>
      <c r="J41" s="158"/>
    </row>
    <row r="42" spans="1:10" s="29" customFormat="1" ht="20.100000000000001" customHeight="1">
      <c r="A42" s="125"/>
      <c r="B42" s="125"/>
      <c r="C42" s="126"/>
      <c r="D42" s="126"/>
      <c r="E42" s="126"/>
      <c r="F42" s="619"/>
      <c r="G42" s="619"/>
      <c r="H42" s="158"/>
      <c r="I42" s="158"/>
      <c r="J42" s="158"/>
    </row>
    <row r="43" spans="1:10" s="30" customFormat="1" ht="20.100000000000001" customHeight="1">
      <c r="A43" s="121"/>
      <c r="B43" s="134"/>
      <c r="C43" s="246" t="s">
        <v>49</v>
      </c>
      <c r="D43" s="246" t="s">
        <v>65</v>
      </c>
      <c r="E43" s="247" t="s">
        <v>51</v>
      </c>
      <c r="F43" s="624"/>
      <c r="G43" s="624"/>
      <c r="H43" s="159"/>
      <c r="I43" s="159"/>
      <c r="J43" s="159"/>
    </row>
    <row r="44" spans="1:10" s="29" customFormat="1" ht="20.100000000000001" customHeight="1">
      <c r="A44" s="327" t="s">
        <v>290</v>
      </c>
      <c r="B44" s="328"/>
      <c r="C44" s="329"/>
      <c r="D44" s="329"/>
      <c r="E44" s="329"/>
      <c r="F44" s="619"/>
      <c r="G44" s="619"/>
      <c r="H44" s="158"/>
      <c r="I44" s="158"/>
      <c r="J44" s="158"/>
    </row>
    <row r="45" spans="1:10" s="29" customFormat="1" ht="20.100000000000001" customHeight="1">
      <c r="A45" s="84" t="s">
        <v>503</v>
      </c>
      <c r="B45" s="565"/>
      <c r="C45" s="575"/>
      <c r="D45" s="571"/>
      <c r="E45" s="572"/>
      <c r="F45" s="619"/>
      <c r="G45" s="618"/>
      <c r="H45" s="465"/>
      <c r="I45" s="158"/>
      <c r="J45" s="158"/>
    </row>
    <row r="46" spans="1:10" s="29" customFormat="1" ht="20.100000000000001" customHeight="1">
      <c r="A46" s="84" t="s">
        <v>82</v>
      </c>
      <c r="B46" s="565"/>
      <c r="C46" s="571"/>
      <c r="D46" s="571"/>
      <c r="E46" s="572"/>
      <c r="F46" s="619"/>
      <c r="G46" s="619"/>
      <c r="H46" s="158"/>
      <c r="I46" s="158"/>
      <c r="J46" s="158"/>
    </row>
    <row r="47" spans="1:10" s="29" customFormat="1" ht="20.100000000000001" customHeight="1">
      <c r="A47" s="84" t="s">
        <v>175</v>
      </c>
      <c r="B47" s="99">
        <f>0.5%+0.18%</f>
        <v>6.8000000000000005E-3</v>
      </c>
      <c r="C47" s="127">
        <f>(C53+C54)*B47</f>
        <v>0</v>
      </c>
      <c r="D47" s="127">
        <f>(D53+D54)*B47</f>
        <v>0</v>
      </c>
      <c r="E47" s="127">
        <f>(E53+E54)*B47</f>
        <v>0</v>
      </c>
      <c r="F47" s="619"/>
      <c r="G47" s="619"/>
      <c r="H47" s="158"/>
      <c r="I47" s="158"/>
      <c r="J47" s="158"/>
    </row>
    <row r="48" spans="1:10" s="29" customFormat="1" ht="20.100000000000001" customHeight="1">
      <c r="A48" s="84" t="s">
        <v>192</v>
      </c>
      <c r="B48" s="99">
        <v>5.4999999999999997E-3</v>
      </c>
      <c r="C48" s="127">
        <f>(C53+C54)*B48</f>
        <v>0</v>
      </c>
      <c r="D48" s="127">
        <f>(D53+D54)*B48</f>
        <v>0</v>
      </c>
      <c r="E48" s="127">
        <f>(E53+E54)*B48</f>
        <v>0</v>
      </c>
      <c r="F48" s="619"/>
      <c r="G48" s="619"/>
      <c r="H48" s="158"/>
      <c r="I48" s="158"/>
      <c r="J48" s="158"/>
    </row>
    <row r="49" spans="1:10" s="29" customFormat="1" ht="20.100000000000001" customHeight="1">
      <c r="A49" s="573" t="s">
        <v>70</v>
      </c>
      <c r="B49" s="229" t="s">
        <v>0</v>
      </c>
      <c r="C49" s="230" t="s">
        <v>0</v>
      </c>
      <c r="D49" s="224"/>
      <c r="E49" s="225"/>
      <c r="F49" s="619"/>
      <c r="G49" s="619"/>
      <c r="H49" s="158"/>
      <c r="I49" s="158"/>
      <c r="J49" s="158"/>
    </row>
    <row r="50" spans="1:10" s="29" customFormat="1" ht="20.100000000000001" customHeight="1">
      <c r="A50" s="325" t="s">
        <v>19</v>
      </c>
      <c r="B50" s="326"/>
      <c r="C50" s="124">
        <f>SUM(C45:C49)</f>
        <v>0</v>
      </c>
      <c r="D50" s="124">
        <f>SUM(D45:D49)</f>
        <v>0</v>
      </c>
      <c r="E50" s="124">
        <f>SUM(E45:E49)</f>
        <v>0</v>
      </c>
      <c r="F50" s="619"/>
      <c r="G50" s="619"/>
      <c r="H50" s="158"/>
      <c r="I50" s="158"/>
      <c r="J50" s="158"/>
    </row>
    <row r="51" spans="1:10" s="29" customFormat="1" ht="20.100000000000001" customHeight="1">
      <c r="A51" s="327" t="s">
        <v>291</v>
      </c>
      <c r="B51" s="328"/>
      <c r="C51" s="329"/>
      <c r="D51" s="329"/>
      <c r="E51" s="329"/>
      <c r="F51" s="619"/>
      <c r="G51" s="619"/>
      <c r="H51" s="158"/>
      <c r="I51" s="158"/>
      <c r="J51" s="158"/>
    </row>
    <row r="52" spans="1:10" s="29" customFormat="1" ht="20.100000000000001" customHeight="1">
      <c r="A52" s="84" t="s">
        <v>229</v>
      </c>
      <c r="B52" s="565"/>
      <c r="C52" s="571"/>
      <c r="D52" s="571"/>
      <c r="E52" s="572"/>
      <c r="F52" s="617"/>
      <c r="G52" s="625" t="s">
        <v>305</v>
      </c>
      <c r="H52" s="353"/>
      <c r="I52" s="353"/>
      <c r="J52" s="158"/>
    </row>
    <row r="53" spans="1:10" s="29" customFormat="1" ht="20.100000000000001" customHeight="1">
      <c r="A53" s="84" t="s">
        <v>230</v>
      </c>
      <c r="B53" s="565"/>
      <c r="C53" s="571"/>
      <c r="D53" s="571"/>
      <c r="E53" s="571"/>
      <c r="F53" s="617"/>
      <c r="G53" s="626" t="s">
        <v>308</v>
      </c>
      <c r="H53" s="158"/>
      <c r="I53" s="158"/>
      <c r="J53" s="158"/>
    </row>
    <row r="54" spans="1:10" s="29" customFormat="1" ht="20.100000000000001" customHeight="1">
      <c r="A54" s="222" t="s">
        <v>231</v>
      </c>
      <c r="B54" s="223"/>
      <c r="C54" s="362">
        <f>'3,10 sal'!E16</f>
        <v>0</v>
      </c>
      <c r="D54" s="362">
        <f>'3,10 sal'!E30</f>
        <v>0</v>
      </c>
      <c r="E54" s="370">
        <f>'3,10 sal'!E44</f>
        <v>0</v>
      </c>
      <c r="F54" s="619"/>
      <c r="G54" s="627" t="s">
        <v>309</v>
      </c>
      <c r="H54" s="159"/>
      <c r="I54" s="159"/>
      <c r="J54" s="158"/>
    </row>
    <row r="55" spans="1:10" s="29" customFormat="1" ht="20.100000000000001" customHeight="1" thickBot="1">
      <c r="A55" s="325" t="s">
        <v>19</v>
      </c>
      <c r="B55" s="326"/>
      <c r="C55" s="124"/>
      <c r="D55" s="124">
        <f>SUM(D52:D54)</f>
        <v>0</v>
      </c>
      <c r="E55" s="124">
        <f>SUM(E52:E54)</f>
        <v>0</v>
      </c>
      <c r="F55" s="619"/>
      <c r="G55" s="624" t="s">
        <v>49</v>
      </c>
      <c r="H55" s="159" t="s">
        <v>306</v>
      </c>
      <c r="I55" s="159" t="s">
        <v>307</v>
      </c>
      <c r="J55" s="158"/>
    </row>
    <row r="56" spans="1:10" s="29" customFormat="1" ht="20.100000000000001" customHeight="1" thickBot="1">
      <c r="A56" s="327" t="s">
        <v>292</v>
      </c>
      <c r="B56" s="328"/>
      <c r="C56" s="329"/>
      <c r="D56" s="329"/>
      <c r="E56" s="329"/>
      <c r="F56" s="619"/>
      <c r="G56" s="628"/>
      <c r="H56" s="354"/>
      <c r="I56" s="354"/>
      <c r="J56" s="158"/>
    </row>
    <row r="57" spans="1:10" s="29" customFormat="1" ht="20.100000000000001" customHeight="1" thickBot="1">
      <c r="A57" s="84" t="s">
        <v>83</v>
      </c>
      <c r="B57" s="128">
        <v>0.45</v>
      </c>
      <c r="C57" s="127">
        <f>(C54+C53)*B57</f>
        <v>0</v>
      </c>
      <c r="D57" s="127">
        <f>(D53+D54)*$B$57</f>
        <v>0</v>
      </c>
      <c r="E57" s="127">
        <f>(E53+E54)*$B$57</f>
        <v>0</v>
      </c>
      <c r="F57" s="619"/>
      <c r="G57" s="626" t="s">
        <v>310</v>
      </c>
      <c r="H57" s="158"/>
      <c r="I57" s="158"/>
      <c r="J57" s="158"/>
    </row>
    <row r="58" spans="1:10" s="29" customFormat="1" ht="20.100000000000001" customHeight="1" thickBot="1">
      <c r="A58" s="84" t="s">
        <v>84</v>
      </c>
      <c r="B58" s="656">
        <v>0.45</v>
      </c>
      <c r="C58" s="571"/>
      <c r="D58" s="575"/>
      <c r="E58" s="575"/>
      <c r="F58" s="619"/>
      <c r="G58" s="629"/>
      <c r="H58" s="355"/>
      <c r="I58" s="355"/>
      <c r="J58" s="158"/>
    </row>
    <row r="59" spans="1:10" s="29" customFormat="1" ht="20.100000000000001" customHeight="1">
      <c r="A59" s="520" t="s">
        <v>336</v>
      </c>
      <c r="B59" s="565"/>
      <c r="C59" s="571"/>
      <c r="D59" s="571"/>
      <c r="E59" s="571"/>
      <c r="F59" s="619"/>
      <c r="G59" s="587"/>
      <c r="H59"/>
      <c r="I59"/>
      <c r="J59" s="158"/>
    </row>
    <row r="60" spans="1:10" s="29" customFormat="1" ht="20.100000000000001" customHeight="1">
      <c r="A60" s="131" t="s">
        <v>337</v>
      </c>
      <c r="B60" s="578"/>
      <c r="C60" s="579"/>
      <c r="D60" s="571"/>
      <c r="E60" s="571"/>
      <c r="F60" s="619"/>
      <c r="G60" s="630" t="s">
        <v>395</v>
      </c>
      <c r="H60" s="480"/>
      <c r="I60"/>
      <c r="J60" s="158"/>
    </row>
    <row r="61" spans="1:10" s="29" customFormat="1" ht="20.100000000000001" customHeight="1">
      <c r="A61" s="325" t="s">
        <v>19</v>
      </c>
      <c r="B61" s="326"/>
      <c r="C61" s="124">
        <f>SUM(C57:C60)</f>
        <v>0</v>
      </c>
      <c r="D61" s="124">
        <f>SUM(D57:D60)</f>
        <v>0</v>
      </c>
      <c r="E61" s="124">
        <f>SUM(E57:E60)</f>
        <v>0</v>
      </c>
      <c r="F61" s="619"/>
      <c r="G61" s="587"/>
      <c r="H61"/>
      <c r="I61"/>
      <c r="J61" s="158"/>
    </row>
    <row r="62" spans="1:10" s="29" customFormat="1" ht="20.100000000000001" customHeight="1">
      <c r="A62" s="327" t="s">
        <v>293</v>
      </c>
      <c r="B62" s="328"/>
      <c r="C62" s="329"/>
      <c r="D62" s="329"/>
      <c r="E62" s="329"/>
      <c r="F62" s="619"/>
      <c r="G62" s="587"/>
      <c r="H62"/>
      <c r="I62"/>
      <c r="J62" s="158"/>
    </row>
    <row r="63" spans="1:10" s="29" customFormat="1" ht="20.100000000000001" customHeight="1">
      <c r="A63" s="82" t="s">
        <v>186</v>
      </c>
      <c r="B63" s="129"/>
      <c r="C63" s="130">
        <f>'3,12 amort'!D21</f>
        <v>0</v>
      </c>
      <c r="D63" s="130">
        <f>'3,12 amort'!E21</f>
        <v>0</v>
      </c>
      <c r="E63" s="371">
        <f>'3,12 amort'!F21</f>
        <v>0</v>
      </c>
      <c r="F63" s="619"/>
      <c r="G63" s="619"/>
      <c r="H63" s="158"/>
      <c r="I63" s="158"/>
      <c r="J63" s="158"/>
    </row>
    <row r="64" spans="1:10" s="29" customFormat="1" ht="20.100000000000001" customHeight="1">
      <c r="A64" s="580" t="s">
        <v>397</v>
      </c>
      <c r="B64" s="578"/>
      <c r="C64" s="579" t="s">
        <v>0</v>
      </c>
      <c r="D64" s="579"/>
      <c r="E64" s="581"/>
      <c r="F64" s="619"/>
      <c r="G64" s="619"/>
      <c r="H64" s="158"/>
      <c r="I64" s="158"/>
      <c r="J64" s="158"/>
    </row>
    <row r="65" spans="1:10" s="29" customFormat="1" ht="20.100000000000001" customHeight="1">
      <c r="A65" s="325" t="s">
        <v>19</v>
      </c>
      <c r="B65" s="326"/>
      <c r="C65" s="124">
        <f>SUM(C63:C64)</f>
        <v>0</v>
      </c>
      <c r="D65" s="124">
        <f>SUM(D63:D64)</f>
        <v>0</v>
      </c>
      <c r="E65" s="124">
        <f>SUM(E63:E64)</f>
        <v>0</v>
      </c>
      <c r="F65" s="619"/>
      <c r="G65" s="619"/>
      <c r="H65" s="158"/>
      <c r="I65" s="158"/>
      <c r="J65" s="158"/>
    </row>
    <row r="66" spans="1:10" ht="20.100000000000001" customHeight="1">
      <c r="A66" s="327" t="s">
        <v>294</v>
      </c>
      <c r="B66" s="328"/>
      <c r="C66" s="329"/>
      <c r="D66" s="329"/>
      <c r="E66" s="329"/>
      <c r="F66" s="617"/>
      <c r="G66" s="617"/>
    </row>
    <row r="67" spans="1:10" ht="20.100000000000001" customHeight="1">
      <c r="A67" s="520" t="s">
        <v>85</v>
      </c>
      <c r="B67" s="565"/>
      <c r="C67" s="571"/>
      <c r="D67" s="571"/>
      <c r="E67" s="572"/>
      <c r="F67" s="617"/>
      <c r="G67" s="617"/>
    </row>
    <row r="68" spans="1:10" ht="20.100000000000001" customHeight="1">
      <c r="A68" s="520" t="s">
        <v>86</v>
      </c>
      <c r="B68" s="565"/>
      <c r="C68" s="571"/>
      <c r="D68" s="571"/>
      <c r="E68" s="571"/>
      <c r="F68" s="617"/>
      <c r="G68" s="617"/>
    </row>
    <row r="69" spans="1:10" ht="20.100000000000001" customHeight="1">
      <c r="A69" s="573" t="s">
        <v>71</v>
      </c>
      <c r="B69" s="574"/>
      <c r="C69" s="582"/>
      <c r="D69" s="582"/>
      <c r="E69" s="583"/>
      <c r="F69" s="617"/>
      <c r="G69" s="617"/>
    </row>
    <row r="70" spans="1:10" ht="20.100000000000001" customHeight="1">
      <c r="A70" s="325" t="s">
        <v>19</v>
      </c>
      <c r="B70" s="326"/>
      <c r="C70" s="124">
        <f>SUM(C67:C69)</f>
        <v>0</v>
      </c>
      <c r="D70" s="124">
        <f>SUM(D67:D69)</f>
        <v>0</v>
      </c>
      <c r="E70" s="124">
        <f>SUM(E67:E69)</f>
        <v>0</v>
      </c>
      <c r="F70" s="617"/>
      <c r="G70" s="617"/>
    </row>
    <row r="71" spans="1:10" ht="20.100000000000001" customHeight="1">
      <c r="A71" s="327" t="s">
        <v>295</v>
      </c>
      <c r="B71" s="328"/>
      <c r="C71" s="329"/>
      <c r="D71" s="329"/>
      <c r="E71" s="329"/>
      <c r="F71" s="617"/>
      <c r="G71" s="617"/>
      <c r="J71" s="149"/>
    </row>
    <row r="72" spans="1:10" ht="20.100000000000001" customHeight="1">
      <c r="A72" s="84" t="s">
        <v>174</v>
      </c>
      <c r="B72" s="93"/>
      <c r="C72" s="127">
        <f>'3,131 int emprunts'!D9+'3,131 int emprunts'!D23+'3,131 int emprunts'!K23</f>
        <v>0</v>
      </c>
      <c r="D72" s="127">
        <f>'3,131 int emprunts'!D10+'3,131 int emprunts'!D24+'3,131 int emprunts'!K24</f>
        <v>0</v>
      </c>
      <c r="E72" s="127">
        <f>'3,131 int emprunts'!D11+'3,131 int emprunts'!D25+'3,131 int emprunts'!K25</f>
        <v>0</v>
      </c>
      <c r="F72" s="617"/>
      <c r="G72" s="617"/>
      <c r="J72" s="149"/>
    </row>
    <row r="73" spans="1:10" ht="20.100000000000001" customHeight="1">
      <c r="A73" s="222" t="s">
        <v>323</v>
      </c>
      <c r="B73" s="223"/>
      <c r="C73" s="362">
        <f>'3,131 int emprunts'!K32</f>
        <v>0</v>
      </c>
      <c r="D73" s="362">
        <f>'3,131 int emprunts'!K32</f>
        <v>0</v>
      </c>
      <c r="E73" s="362">
        <f>'3,131 int emprunts'!K32</f>
        <v>0</v>
      </c>
      <c r="F73" s="617"/>
      <c r="G73" s="617"/>
    </row>
    <row r="74" spans="1:10" ht="20.100000000000001" customHeight="1">
      <c r="A74" s="325" t="s">
        <v>19</v>
      </c>
      <c r="B74" s="326"/>
      <c r="C74" s="124">
        <f>SUM(C72:C73)</f>
        <v>0</v>
      </c>
      <c r="D74" s="124">
        <f>SUM(D72:D73)</f>
        <v>0</v>
      </c>
      <c r="E74" s="124">
        <f>SUM(E72:E73)</f>
        <v>0</v>
      </c>
      <c r="F74" s="617"/>
      <c r="G74" s="617"/>
    </row>
    <row r="75" spans="1:10" ht="20.100000000000001" customHeight="1">
      <c r="A75" s="327" t="s">
        <v>296</v>
      </c>
      <c r="B75" s="328"/>
      <c r="C75" s="329"/>
      <c r="D75" s="329"/>
      <c r="E75" s="329"/>
      <c r="F75" s="617"/>
      <c r="G75" s="617"/>
    </row>
    <row r="76" spans="1:10" ht="20.100000000000001" customHeight="1">
      <c r="A76" s="132" t="s">
        <v>396</v>
      </c>
      <c r="B76" s="226"/>
      <c r="C76" s="227"/>
      <c r="D76" s="227"/>
      <c r="E76" s="227"/>
      <c r="F76" s="617"/>
      <c r="G76" s="617"/>
    </row>
    <row r="77" spans="1:10" ht="20.100000000000001" customHeight="1" thickBot="1">
      <c r="A77" s="333" t="s">
        <v>19</v>
      </c>
      <c r="B77" s="334"/>
      <c r="C77" s="231">
        <f>SUM(C76)</f>
        <v>0</v>
      </c>
      <c r="D77" s="124">
        <f>SUM(D76)</f>
        <v>0</v>
      </c>
      <c r="E77" s="124">
        <f>SUM(E76)</f>
        <v>0</v>
      </c>
      <c r="F77" s="617"/>
      <c r="G77" s="617"/>
    </row>
    <row r="78" spans="1:10" ht="20.100000000000001" customHeight="1" thickTop="1" thickBot="1">
      <c r="A78" s="248" t="s">
        <v>87</v>
      </c>
      <c r="B78" s="249"/>
      <c r="C78" s="250">
        <f>SUM(C4:C77)/2</f>
        <v>0</v>
      </c>
      <c r="D78" s="250">
        <f>SUM(D4:D77)/2</f>
        <v>0</v>
      </c>
      <c r="E78" s="250">
        <f>SUM(E4:E77)/2</f>
        <v>0</v>
      </c>
      <c r="F78" s="617"/>
      <c r="G78" s="617"/>
    </row>
    <row r="79" spans="1:10" ht="20.100000000000001" customHeight="1" thickTop="1">
      <c r="A79" s="31"/>
      <c r="B79" s="13"/>
      <c r="C79" s="41"/>
      <c r="D79" s="41"/>
      <c r="E79" s="41"/>
    </row>
    <row r="80" spans="1:10" ht="20.100000000000001" customHeight="1">
      <c r="A80" s="31"/>
      <c r="B80" s="13"/>
      <c r="C80" s="41"/>
      <c r="D80" s="41"/>
      <c r="E80" s="41"/>
    </row>
    <row r="81" spans="1:5" ht="21" customHeight="1">
      <c r="A81" s="31"/>
      <c r="B81" s="13"/>
      <c r="C81" s="41"/>
      <c r="D81" s="41"/>
      <c r="E81" s="41"/>
    </row>
    <row r="82" spans="1:5" ht="21" customHeight="1">
      <c r="A82" s="31"/>
      <c r="B82" s="13"/>
      <c r="C82" s="41"/>
      <c r="D82" s="41"/>
      <c r="E82" s="41"/>
    </row>
    <row r="83" spans="1:5" ht="21" customHeight="1">
      <c r="A83" s="31"/>
      <c r="B83" s="13"/>
      <c r="C83" s="41"/>
      <c r="D83" s="41"/>
      <c r="E83" s="41"/>
    </row>
    <row r="84" spans="1:5" ht="21" customHeight="1">
      <c r="A84" s="31"/>
      <c r="B84" s="13"/>
      <c r="C84" s="41"/>
      <c r="D84" s="41"/>
      <c r="E84" s="41"/>
    </row>
    <row r="85" spans="1:5" ht="21" customHeight="1">
      <c r="A85" s="31"/>
      <c r="B85" s="13"/>
      <c r="C85" s="41"/>
      <c r="D85" s="41"/>
      <c r="E85" s="41"/>
    </row>
    <row r="86" spans="1:5" ht="21" customHeight="1">
      <c r="A86" s="31"/>
      <c r="B86" s="13"/>
      <c r="C86" s="41"/>
      <c r="D86" s="41"/>
      <c r="E86" s="41"/>
    </row>
    <row r="87" spans="1:5" ht="21" customHeight="1">
      <c r="A87" s="31"/>
      <c r="B87" s="13"/>
      <c r="C87" s="41"/>
      <c r="D87" s="41"/>
      <c r="E87" s="41"/>
    </row>
    <row r="88" spans="1:5" ht="21" customHeight="1">
      <c r="A88" s="31"/>
      <c r="B88" s="13"/>
      <c r="C88" s="41"/>
      <c r="D88" s="41"/>
      <c r="E88" s="41"/>
    </row>
    <row r="89" spans="1:5" ht="21" customHeight="1">
      <c r="A89" s="31"/>
      <c r="B89" s="13"/>
    </row>
    <row r="90" spans="1:5" ht="21" customHeight="1">
      <c r="A90" s="31"/>
      <c r="B90" s="13"/>
    </row>
    <row r="91" spans="1:5" ht="21" customHeight="1">
      <c r="A91" s="31"/>
      <c r="B91" s="13"/>
    </row>
    <row r="92" spans="1:5" ht="21" customHeight="1"/>
    <row r="93" spans="1:5" ht="21" customHeight="1"/>
    <row r="94" spans="1:5" ht="21" customHeight="1"/>
    <row r="95" spans="1:5" ht="21" customHeight="1"/>
    <row r="96" spans="1:5" ht="21" customHeight="1"/>
    <row r="97" ht="21" customHeight="1"/>
  </sheetData>
  <sheetProtection formatCells="0" formatColumns="0"/>
  <mergeCells count="2">
    <mergeCell ref="A1:E1"/>
    <mergeCell ref="A41:E41"/>
  </mergeCells>
  <phoneticPr fontId="0" type="noConversion"/>
  <printOptions horizontalCentered="1"/>
  <pageMargins left="0.43307086614173229" right="0.55118110236220474" top="0.59055118110236227" bottom="0.6692913385826772" header="0.39370078740157483" footer="0.47244094488188981"/>
  <pageSetup paperSize="9" scale="92" orientation="portrait" horizontalDpi="4294967295" verticalDpi="4294967295"/>
  <headerFooter alignWithMargins="0">
    <oddHeader>&amp;R3.1</oddHeader>
    <oddFooter>&amp;Limprimé le &amp;D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12" enableFormatConditionsCalculation="0">
    <tabColor indexed="42"/>
  </sheetPr>
  <dimension ref="A1:E44"/>
  <sheetViews>
    <sheetView zoomScale="75" workbookViewId="0">
      <selection activeCell="G6" sqref="G6:G11"/>
    </sheetView>
  </sheetViews>
  <sheetFormatPr baseColWidth="10" defaultRowHeight="12.75"/>
  <cols>
    <col min="1" max="1" width="38.85546875" customWidth="1"/>
    <col min="2" max="2" width="6.42578125" customWidth="1"/>
    <col min="3" max="3" width="14.42578125" customWidth="1"/>
    <col min="4" max="4" width="9.42578125" customWidth="1"/>
    <col min="5" max="5" width="15.42578125" customWidth="1"/>
  </cols>
  <sheetData>
    <row r="1" spans="1:5" ht="15.75" thickBot="1">
      <c r="A1" s="69"/>
      <c r="B1" s="69"/>
      <c r="C1" s="69"/>
      <c r="D1" s="69"/>
      <c r="E1" s="69"/>
    </row>
    <row r="2" spans="1:5" ht="23.25" thickBot="1">
      <c r="A2" s="318" t="s">
        <v>311</v>
      </c>
      <c r="B2" s="319"/>
      <c r="C2" s="285"/>
      <c r="D2" s="285"/>
      <c r="E2" s="286"/>
    </row>
    <row r="3" spans="1:5" ht="15">
      <c r="A3" s="69"/>
      <c r="B3" s="69"/>
      <c r="C3" s="69"/>
      <c r="D3" s="69"/>
      <c r="E3" s="69"/>
    </row>
    <row r="4" spans="1:5" ht="15">
      <c r="A4" s="69"/>
      <c r="B4" s="69"/>
      <c r="C4" s="69"/>
      <c r="D4" s="69"/>
      <c r="E4" s="69"/>
    </row>
    <row r="5" spans="1:5" ht="18">
      <c r="A5" s="358" t="s">
        <v>319</v>
      </c>
      <c r="B5" s="357"/>
      <c r="C5" s="315" t="s">
        <v>312</v>
      </c>
      <c r="D5" s="315" t="s">
        <v>314</v>
      </c>
      <c r="E5" s="315" t="s">
        <v>316</v>
      </c>
    </row>
    <row r="6" spans="1:5" ht="18">
      <c r="A6" s="369" t="s">
        <v>331</v>
      </c>
      <c r="B6" s="357"/>
      <c r="C6" s="361" t="s">
        <v>313</v>
      </c>
      <c r="D6" s="361" t="s">
        <v>315</v>
      </c>
      <c r="E6" s="361" t="s">
        <v>317</v>
      </c>
    </row>
    <row r="7" spans="1:5" ht="16.5">
      <c r="A7" s="313"/>
      <c r="B7" s="314"/>
      <c r="C7" s="266"/>
      <c r="D7" s="266"/>
      <c r="E7" s="101">
        <f>C7*D7</f>
        <v>0</v>
      </c>
    </row>
    <row r="8" spans="1:5" ht="16.5">
      <c r="A8" s="313"/>
      <c r="B8" s="314"/>
      <c r="C8" s="97"/>
      <c r="D8" s="97"/>
      <c r="E8" s="100">
        <f t="shared" ref="E8:E15" si="0">C8*D8</f>
        <v>0</v>
      </c>
    </row>
    <row r="9" spans="1:5" ht="16.5">
      <c r="A9" s="313"/>
      <c r="B9" s="314"/>
      <c r="C9" s="97"/>
      <c r="D9" s="97"/>
      <c r="E9" s="100">
        <f t="shared" si="0"/>
        <v>0</v>
      </c>
    </row>
    <row r="10" spans="1:5" ht="16.5">
      <c r="A10" s="313"/>
      <c r="B10" s="314"/>
      <c r="C10" s="97"/>
      <c r="D10" s="97"/>
      <c r="E10" s="100">
        <f t="shared" si="0"/>
        <v>0</v>
      </c>
    </row>
    <row r="11" spans="1:5" ht="16.5">
      <c r="A11" s="313"/>
      <c r="B11" s="314"/>
      <c r="C11" s="97"/>
      <c r="D11" s="97"/>
      <c r="E11" s="100">
        <f t="shared" si="0"/>
        <v>0</v>
      </c>
    </row>
    <row r="12" spans="1:5" ht="16.5">
      <c r="A12" s="313"/>
      <c r="B12" s="314"/>
      <c r="C12" s="97"/>
      <c r="D12" s="97"/>
      <c r="E12" s="100">
        <f t="shared" si="0"/>
        <v>0</v>
      </c>
    </row>
    <row r="13" spans="1:5" ht="16.5">
      <c r="A13" s="344" t="s">
        <v>0</v>
      </c>
      <c r="B13" s="314"/>
      <c r="C13" s="97"/>
      <c r="D13" s="97"/>
      <c r="E13" s="100">
        <f t="shared" si="0"/>
        <v>0</v>
      </c>
    </row>
    <row r="14" spans="1:5" ht="16.5">
      <c r="A14" s="344" t="s">
        <v>0</v>
      </c>
      <c r="B14" s="314"/>
      <c r="C14" s="97"/>
      <c r="D14" s="97"/>
      <c r="E14" s="100">
        <f t="shared" si="0"/>
        <v>0</v>
      </c>
    </row>
    <row r="15" spans="1:5" ht="16.5">
      <c r="A15" s="313" t="s">
        <v>0</v>
      </c>
      <c r="B15" s="314"/>
      <c r="C15" s="97"/>
      <c r="D15" s="97"/>
      <c r="E15" s="100">
        <f t="shared" si="0"/>
        <v>0</v>
      </c>
    </row>
    <row r="16" spans="1:5" ht="19.5">
      <c r="A16" s="360" t="s">
        <v>318</v>
      </c>
      <c r="B16" s="317"/>
      <c r="C16" s="359"/>
      <c r="D16" s="359"/>
      <c r="E16" s="310">
        <f>SUM(E7:E15)</f>
        <v>0</v>
      </c>
    </row>
    <row r="19" spans="1:5" ht="18">
      <c r="A19" s="358" t="s">
        <v>319</v>
      </c>
      <c r="B19" s="357"/>
      <c r="C19" s="315" t="s">
        <v>312</v>
      </c>
      <c r="D19" s="315" t="s">
        <v>314</v>
      </c>
      <c r="E19" s="315" t="s">
        <v>316</v>
      </c>
    </row>
    <row r="20" spans="1:5" ht="18">
      <c r="A20" s="369" t="s">
        <v>332</v>
      </c>
      <c r="B20" s="357"/>
      <c r="C20" s="361" t="s">
        <v>313</v>
      </c>
      <c r="D20" s="361" t="s">
        <v>315</v>
      </c>
      <c r="E20" s="361" t="s">
        <v>317</v>
      </c>
    </row>
    <row r="21" spans="1:5" ht="16.5">
      <c r="A21" s="313" t="s">
        <v>0</v>
      </c>
      <c r="B21" s="314"/>
      <c r="C21" s="266"/>
      <c r="D21" s="266"/>
      <c r="E21" s="101">
        <f>C21*D21</f>
        <v>0</v>
      </c>
    </row>
    <row r="22" spans="1:5" ht="16.5">
      <c r="A22" s="313"/>
      <c r="B22" s="314"/>
      <c r="C22" s="97"/>
      <c r="D22" s="97"/>
      <c r="E22" s="100">
        <f t="shared" ref="E22:E29" si="1">C22*D22</f>
        <v>0</v>
      </c>
    </row>
    <row r="23" spans="1:5" ht="16.5">
      <c r="A23" s="313"/>
      <c r="B23" s="314"/>
      <c r="C23" s="97"/>
      <c r="D23" s="97"/>
      <c r="E23" s="100">
        <f t="shared" si="1"/>
        <v>0</v>
      </c>
    </row>
    <row r="24" spans="1:5" ht="16.5">
      <c r="A24" s="313"/>
      <c r="B24" s="314"/>
      <c r="C24" s="97"/>
      <c r="D24" s="97"/>
      <c r="E24" s="100">
        <f t="shared" si="1"/>
        <v>0</v>
      </c>
    </row>
    <row r="25" spans="1:5" ht="16.5">
      <c r="A25" s="313"/>
      <c r="B25" s="314"/>
      <c r="C25" s="97"/>
      <c r="D25" s="97"/>
      <c r="E25" s="100">
        <f t="shared" si="1"/>
        <v>0</v>
      </c>
    </row>
    <row r="26" spans="1:5" ht="16.5">
      <c r="A26" s="313"/>
      <c r="B26" s="314"/>
      <c r="C26" s="97"/>
      <c r="D26" s="97"/>
      <c r="E26" s="100">
        <f t="shared" si="1"/>
        <v>0</v>
      </c>
    </row>
    <row r="27" spans="1:5" ht="16.5">
      <c r="A27" s="344" t="s">
        <v>0</v>
      </c>
      <c r="B27" s="314"/>
      <c r="C27" s="97"/>
      <c r="D27" s="97"/>
      <c r="E27" s="100">
        <f t="shared" si="1"/>
        <v>0</v>
      </c>
    </row>
    <row r="28" spans="1:5" ht="16.5">
      <c r="A28" s="344" t="s">
        <v>0</v>
      </c>
      <c r="B28" s="314"/>
      <c r="C28" s="97"/>
      <c r="D28" s="97"/>
      <c r="E28" s="100">
        <f t="shared" si="1"/>
        <v>0</v>
      </c>
    </row>
    <row r="29" spans="1:5" ht="16.5">
      <c r="A29" s="313" t="s">
        <v>0</v>
      </c>
      <c r="B29" s="314"/>
      <c r="C29" s="97"/>
      <c r="D29" s="97"/>
      <c r="E29" s="100">
        <f t="shared" si="1"/>
        <v>0</v>
      </c>
    </row>
    <row r="30" spans="1:5" ht="19.5">
      <c r="A30" s="360" t="s">
        <v>318</v>
      </c>
      <c r="B30" s="317"/>
      <c r="C30" s="359"/>
      <c r="D30" s="359"/>
      <c r="E30" s="310">
        <f>SUM(E21:E29)</f>
        <v>0</v>
      </c>
    </row>
    <row r="33" spans="1:5" ht="18">
      <c r="A33" s="358" t="s">
        <v>319</v>
      </c>
      <c r="B33" s="357"/>
      <c r="C33" s="315" t="s">
        <v>312</v>
      </c>
      <c r="D33" s="315" t="s">
        <v>314</v>
      </c>
      <c r="E33" s="315" t="s">
        <v>316</v>
      </c>
    </row>
    <row r="34" spans="1:5" ht="18">
      <c r="A34" s="369" t="s">
        <v>333</v>
      </c>
      <c r="B34" s="357"/>
      <c r="C34" s="361" t="s">
        <v>313</v>
      </c>
      <c r="D34" s="361" t="s">
        <v>315</v>
      </c>
      <c r="E34" s="361" t="s">
        <v>317</v>
      </c>
    </row>
    <row r="35" spans="1:5" ht="16.5">
      <c r="A35" s="313" t="s">
        <v>0</v>
      </c>
      <c r="B35" s="314"/>
      <c r="C35" s="266"/>
      <c r="D35" s="266"/>
      <c r="E35" s="101">
        <f>C35*D35</f>
        <v>0</v>
      </c>
    </row>
    <row r="36" spans="1:5" ht="16.5">
      <c r="A36" s="313"/>
      <c r="B36" s="314"/>
      <c r="C36" s="97"/>
      <c r="D36" s="97"/>
      <c r="E36" s="100">
        <f t="shared" ref="E36:E43" si="2">C36*D36</f>
        <v>0</v>
      </c>
    </row>
    <row r="37" spans="1:5" ht="16.5">
      <c r="A37" s="313"/>
      <c r="B37" s="314"/>
      <c r="C37" s="97"/>
      <c r="D37" s="97"/>
      <c r="E37" s="100">
        <f t="shared" si="2"/>
        <v>0</v>
      </c>
    </row>
    <row r="38" spans="1:5" ht="16.5">
      <c r="A38" s="313"/>
      <c r="B38" s="314"/>
      <c r="C38" s="97"/>
      <c r="D38" s="97"/>
      <c r="E38" s="100">
        <f t="shared" si="2"/>
        <v>0</v>
      </c>
    </row>
    <row r="39" spans="1:5" ht="16.5">
      <c r="A39" s="313"/>
      <c r="B39" s="314"/>
      <c r="C39" s="97"/>
      <c r="D39" s="97"/>
      <c r="E39" s="100">
        <f t="shared" si="2"/>
        <v>0</v>
      </c>
    </row>
    <row r="40" spans="1:5" ht="16.5">
      <c r="A40" s="313"/>
      <c r="B40" s="314"/>
      <c r="C40" s="97"/>
      <c r="D40" s="97"/>
      <c r="E40" s="100">
        <f t="shared" si="2"/>
        <v>0</v>
      </c>
    </row>
    <row r="41" spans="1:5" ht="16.5">
      <c r="A41" s="344" t="s">
        <v>0</v>
      </c>
      <c r="B41" s="314"/>
      <c r="C41" s="97"/>
      <c r="D41" s="97"/>
      <c r="E41" s="100">
        <f t="shared" si="2"/>
        <v>0</v>
      </c>
    </row>
    <row r="42" spans="1:5" ht="16.5">
      <c r="A42" s="344" t="s">
        <v>0</v>
      </c>
      <c r="B42" s="314"/>
      <c r="C42" s="97"/>
      <c r="D42" s="97"/>
      <c r="E42" s="100">
        <f t="shared" si="2"/>
        <v>0</v>
      </c>
    </row>
    <row r="43" spans="1:5" ht="16.5">
      <c r="A43" s="313" t="s">
        <v>0</v>
      </c>
      <c r="B43" s="314"/>
      <c r="C43" s="97"/>
      <c r="D43" s="97"/>
      <c r="E43" s="100">
        <f t="shared" si="2"/>
        <v>0</v>
      </c>
    </row>
    <row r="44" spans="1:5" ht="19.5">
      <c r="A44" s="360" t="s">
        <v>318</v>
      </c>
      <c r="B44" s="317"/>
      <c r="C44" s="359"/>
      <c r="D44" s="359"/>
      <c r="E44" s="310">
        <f>SUM(E35:E43)</f>
        <v>0</v>
      </c>
    </row>
  </sheetData>
  <phoneticPr fontId="0" type="noConversion"/>
  <pageMargins left="0.59055118110236227" right="0.59055118110236227" top="0.98425196850393704" bottom="0.78740157480314965" header="0.51181102362204722" footer="0.51181102362204722"/>
  <pageSetup paperSize="9" orientation="portrait" horizontalDpi="4294967295"/>
  <headerFooter alignWithMargins="0">
    <oddHeader>&amp;R3,10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Feuil14" enableFormatConditionsCalculation="0">
    <tabColor indexed="47"/>
  </sheetPr>
  <dimension ref="A1:F29"/>
  <sheetViews>
    <sheetView zoomScale="70" workbookViewId="0">
      <selection activeCell="C12" sqref="C12"/>
    </sheetView>
  </sheetViews>
  <sheetFormatPr baseColWidth="10" defaultRowHeight="12.75"/>
  <cols>
    <col min="1" max="1" width="24.42578125" style="9" customWidth="1"/>
    <col min="2" max="2" width="14.7109375" style="46" customWidth="1"/>
    <col min="3" max="3" width="19.140625" style="47" bestFit="1" customWidth="1"/>
    <col min="4" max="6" width="14.7109375" style="46" customWidth="1"/>
    <col min="7" max="7" width="11.42578125" style="9" customWidth="1"/>
    <col min="8" max="16384" width="11.42578125" style="9"/>
  </cols>
  <sheetData>
    <row r="1" spans="1:6" s="25" customFormat="1" ht="23.25" thickBot="1">
      <c r="A1" s="816" t="s">
        <v>88</v>
      </c>
      <c r="B1" s="817"/>
      <c r="C1" s="817"/>
      <c r="D1" s="817"/>
      <c r="E1" s="817"/>
      <c r="F1" s="818"/>
    </row>
    <row r="2" spans="1:6" s="25" customFormat="1" ht="22.5">
      <c r="A2" s="408"/>
      <c r="B2" s="408"/>
      <c r="C2" s="408"/>
      <c r="D2" s="408"/>
      <c r="E2" s="408"/>
      <c r="F2" s="408"/>
    </row>
    <row r="3" spans="1:6" s="25" customFormat="1" ht="22.5">
      <c r="A3" s="408"/>
      <c r="B3" s="408"/>
      <c r="C3" s="408"/>
      <c r="D3" s="408"/>
      <c r="E3" s="408"/>
      <c r="F3" s="408"/>
    </row>
    <row r="4" spans="1:6" s="25" customFormat="1" ht="18">
      <c r="A4" s="136"/>
      <c r="B4" s="137" t="s">
        <v>0</v>
      </c>
      <c r="C4" s="138"/>
      <c r="D4" s="137"/>
      <c r="E4" s="137"/>
      <c r="F4" s="137"/>
    </row>
    <row r="5" spans="1:6" s="26" customFormat="1" ht="36">
      <c r="A5" s="140" t="s">
        <v>89</v>
      </c>
      <c r="B5" s="141" t="s">
        <v>194</v>
      </c>
      <c r="C5" s="142" t="s">
        <v>90</v>
      </c>
      <c r="D5" s="141" t="s">
        <v>456</v>
      </c>
      <c r="E5" s="141" t="s">
        <v>457</v>
      </c>
      <c r="F5" s="141" t="s">
        <v>458</v>
      </c>
    </row>
    <row r="6" spans="1:6" s="25" customFormat="1" ht="16.5">
      <c r="A6" s="143"/>
      <c r="B6" s="147"/>
      <c r="C6" s="148"/>
      <c r="D6" s="147"/>
      <c r="E6" s="147"/>
      <c r="F6" s="147"/>
    </row>
    <row r="7" spans="1:6" s="25" customFormat="1" ht="16.5">
      <c r="A7" s="143" t="s">
        <v>91</v>
      </c>
      <c r="B7" s="144">
        <f>'1.1 Détails Investissements'!B5+'1.1 Détails Investissements'!D5</f>
        <v>0</v>
      </c>
      <c r="C7" s="145">
        <v>3</v>
      </c>
      <c r="D7" s="146">
        <f>B7/C7</f>
        <v>0</v>
      </c>
      <c r="E7" s="146">
        <f>B7/C7</f>
        <v>0</v>
      </c>
      <c r="F7" s="146">
        <f>B7/C7</f>
        <v>0</v>
      </c>
    </row>
    <row r="8" spans="1:6" s="25" customFormat="1" ht="16.5">
      <c r="A8" s="143" t="s">
        <v>346</v>
      </c>
      <c r="B8" s="144">
        <f>'1.1 Détails Investissements'!E5</f>
        <v>0</v>
      </c>
      <c r="C8" s="145">
        <v>3</v>
      </c>
      <c r="D8" s="382"/>
      <c r="E8" s="146">
        <f>B8/C8</f>
        <v>0</v>
      </c>
      <c r="F8" s="146">
        <f>B8/C8</f>
        <v>0</v>
      </c>
    </row>
    <row r="9" spans="1:6" s="25" customFormat="1" ht="16.5">
      <c r="A9" s="143" t="s">
        <v>92</v>
      </c>
      <c r="B9" s="144">
        <f>'1.1 Détails Investissements'!B14+'1.1 Détails Investissements'!D14</f>
        <v>0</v>
      </c>
      <c r="C9" s="145">
        <v>15</v>
      </c>
      <c r="D9" s="146">
        <f>B9/C9</f>
        <v>0</v>
      </c>
      <c r="E9" s="146">
        <f>B9/C9</f>
        <v>0</v>
      </c>
      <c r="F9" s="146">
        <f>B9/C9</f>
        <v>0</v>
      </c>
    </row>
    <row r="10" spans="1:6" s="25" customFormat="1" ht="16.5">
      <c r="A10" s="143"/>
      <c r="B10" s="147"/>
      <c r="C10" s="148"/>
      <c r="D10" s="147"/>
      <c r="E10" s="147"/>
      <c r="F10" s="147"/>
    </row>
    <row r="11" spans="1:6" s="25" customFormat="1" ht="16.5">
      <c r="A11" s="143" t="s">
        <v>93</v>
      </c>
      <c r="B11" s="144">
        <f>'1.1 Détails Investissements'!B16+'1.1 Détails Investissements'!D16</f>
        <v>0</v>
      </c>
      <c r="C11" s="145">
        <v>10</v>
      </c>
      <c r="D11" s="146">
        <f>B11/C11</f>
        <v>0</v>
      </c>
      <c r="E11" s="146">
        <f t="shared" ref="E11:E20" si="0">B11/C11</f>
        <v>0</v>
      </c>
      <c r="F11" s="146">
        <f t="shared" ref="F11:F20" si="1">B11/C11</f>
        <v>0</v>
      </c>
    </row>
    <row r="12" spans="1:6" s="25" customFormat="1" ht="16.5">
      <c r="A12" s="143" t="s">
        <v>347</v>
      </c>
      <c r="B12" s="144">
        <f>'1.1 Détails Investissements'!E16</f>
        <v>0</v>
      </c>
      <c r="C12" s="145">
        <v>10</v>
      </c>
      <c r="D12" s="383"/>
      <c r="E12" s="146">
        <f t="shared" si="0"/>
        <v>0</v>
      </c>
      <c r="F12" s="146">
        <f t="shared" si="1"/>
        <v>0</v>
      </c>
    </row>
    <row r="13" spans="1:6" s="25" customFormat="1" ht="16.5">
      <c r="A13" s="143" t="s">
        <v>94</v>
      </c>
      <c r="B13" s="144">
        <f>'1.1 Détails Investissements'!B30+'1.1 Détails Investissements'!D30</f>
        <v>0</v>
      </c>
      <c r="C13" s="145">
        <v>10</v>
      </c>
      <c r="D13" s="146">
        <f>B13/C13</f>
        <v>0</v>
      </c>
      <c r="E13" s="146">
        <f t="shared" si="0"/>
        <v>0</v>
      </c>
      <c r="F13" s="146">
        <f t="shared" si="1"/>
        <v>0</v>
      </c>
    </row>
    <row r="14" spans="1:6" s="25" customFormat="1" ht="16.5">
      <c r="A14" s="143" t="s">
        <v>348</v>
      </c>
      <c r="B14" s="144">
        <f>'1.1 Détails Investissements'!E30</f>
        <v>0</v>
      </c>
      <c r="C14" s="145">
        <v>10</v>
      </c>
      <c r="D14" s="383"/>
      <c r="E14" s="146">
        <f t="shared" si="0"/>
        <v>0</v>
      </c>
      <c r="F14" s="146">
        <f t="shared" si="1"/>
        <v>0</v>
      </c>
    </row>
    <row r="15" spans="1:6" s="25" customFormat="1" ht="16.5">
      <c r="A15" s="143" t="s">
        <v>95</v>
      </c>
      <c r="B15" s="144">
        <f>'1.1 Détails Investissements'!B40+'1.1 Détails Investissements'!D40</f>
        <v>0</v>
      </c>
      <c r="C15" s="145">
        <v>5</v>
      </c>
      <c r="D15" s="146">
        <f>B15/C15</f>
        <v>0</v>
      </c>
      <c r="E15" s="146">
        <f t="shared" si="0"/>
        <v>0</v>
      </c>
      <c r="F15" s="146">
        <f t="shared" si="1"/>
        <v>0</v>
      </c>
    </row>
    <row r="16" spans="1:6" s="25" customFormat="1" ht="16.5">
      <c r="A16" s="143" t="s">
        <v>349</v>
      </c>
      <c r="B16" s="144">
        <f>'1.1 Détails Investissements'!E40</f>
        <v>0</v>
      </c>
      <c r="C16" s="145">
        <v>5</v>
      </c>
      <c r="D16" s="383"/>
      <c r="E16" s="146">
        <f t="shared" si="0"/>
        <v>0</v>
      </c>
      <c r="F16" s="146">
        <f t="shared" si="1"/>
        <v>0</v>
      </c>
    </row>
    <row r="17" spans="1:6" s="25" customFormat="1" ht="16.5">
      <c r="A17" s="143" t="s">
        <v>96</v>
      </c>
      <c r="B17" s="144">
        <f>'1.1 Détails Investissements'!B44+'1.1 Détails Investissements'!D44</f>
        <v>0</v>
      </c>
      <c r="C17" s="145">
        <v>5</v>
      </c>
      <c r="D17" s="146">
        <f>B17/C17</f>
        <v>0</v>
      </c>
      <c r="E17" s="146">
        <f t="shared" si="0"/>
        <v>0</v>
      </c>
      <c r="F17" s="146">
        <f t="shared" si="1"/>
        <v>0</v>
      </c>
    </row>
    <row r="18" spans="1:6" s="25" customFormat="1" ht="16.5">
      <c r="A18" s="143" t="s">
        <v>350</v>
      </c>
      <c r="B18" s="144">
        <f>'1.1 Détails Investissements'!E44</f>
        <v>0</v>
      </c>
      <c r="C18" s="145">
        <v>5</v>
      </c>
      <c r="D18" s="383"/>
      <c r="E18" s="146">
        <f t="shared" si="0"/>
        <v>0</v>
      </c>
      <c r="F18" s="146">
        <f t="shared" si="1"/>
        <v>0</v>
      </c>
    </row>
    <row r="19" spans="1:6" s="25" customFormat="1" ht="16.5">
      <c r="A19" s="143" t="s">
        <v>97</v>
      </c>
      <c r="B19" s="144">
        <f>'1.1 Détails Investissements'!B53+'1.1 Détails Investissements'!D53</f>
        <v>0</v>
      </c>
      <c r="C19" s="145">
        <v>10</v>
      </c>
      <c r="D19" s="146">
        <f>B19/C19</f>
        <v>0</v>
      </c>
      <c r="E19" s="146">
        <f t="shared" si="0"/>
        <v>0</v>
      </c>
      <c r="F19" s="146">
        <f t="shared" si="1"/>
        <v>0</v>
      </c>
    </row>
    <row r="20" spans="1:6" s="25" customFormat="1" ht="16.5">
      <c r="A20" s="143" t="s">
        <v>351</v>
      </c>
      <c r="B20" s="144">
        <f>'1.1 Détails Investissements'!E53</f>
        <v>0</v>
      </c>
      <c r="C20" s="145">
        <v>10</v>
      </c>
      <c r="D20" s="383"/>
      <c r="E20" s="146">
        <f t="shared" si="0"/>
        <v>0</v>
      </c>
      <c r="F20" s="146">
        <f t="shared" si="1"/>
        <v>0</v>
      </c>
    </row>
    <row r="21" spans="1:6" s="25" customFormat="1" ht="22.5">
      <c r="A21" s="852" t="s">
        <v>455</v>
      </c>
      <c r="B21" s="853"/>
      <c r="C21" s="854"/>
      <c r="D21" s="381">
        <f>SUM(D6:D20)</f>
        <v>0</v>
      </c>
      <c r="E21" s="381">
        <f>SUM(E6:E20)</f>
        <v>0</v>
      </c>
      <c r="F21" s="381">
        <f>SUM(F6:F20)</f>
        <v>0</v>
      </c>
    </row>
    <row r="22" spans="1:6" s="25" customFormat="1" ht="15.75">
      <c r="B22" s="44"/>
      <c r="C22" s="45"/>
      <c r="D22" s="44"/>
      <c r="E22" s="44"/>
      <c r="F22" s="44"/>
    </row>
    <row r="23" spans="1:6" s="25" customFormat="1" ht="15.75">
      <c r="A23" s="9"/>
      <c r="B23" s="46"/>
      <c r="C23" s="47"/>
      <c r="D23" s="46"/>
      <c r="E23" s="46"/>
      <c r="F23" s="46"/>
    </row>
    <row r="24" spans="1:6" s="25" customFormat="1" ht="15.75">
      <c r="A24" s="9"/>
      <c r="B24" s="46"/>
      <c r="C24" s="47"/>
      <c r="D24" s="46"/>
      <c r="E24" s="46"/>
      <c r="F24" s="46"/>
    </row>
    <row r="25" spans="1:6" s="25" customFormat="1" ht="15.75">
      <c r="A25" s="9"/>
      <c r="B25" s="46"/>
      <c r="C25" s="47"/>
      <c r="D25" s="46"/>
      <c r="E25" s="46"/>
      <c r="F25" s="46"/>
    </row>
    <row r="26" spans="1:6" s="25" customFormat="1" ht="15.75">
      <c r="A26" s="9"/>
      <c r="B26" s="46"/>
      <c r="C26" s="47"/>
      <c r="D26" s="46"/>
      <c r="E26" s="46"/>
      <c r="F26" s="46"/>
    </row>
    <row r="27" spans="1:6" s="25" customFormat="1" ht="15.75">
      <c r="A27" s="9"/>
      <c r="B27" s="46"/>
      <c r="C27" s="47"/>
      <c r="D27" s="46"/>
      <c r="E27" s="46"/>
      <c r="F27" s="46"/>
    </row>
    <row r="28" spans="1:6" s="25" customFormat="1" ht="15.75">
      <c r="A28" s="9"/>
      <c r="B28" s="46"/>
      <c r="C28" s="47"/>
      <c r="D28" s="46"/>
      <c r="E28" s="46"/>
      <c r="F28" s="46"/>
    </row>
    <row r="29" spans="1:6" s="25" customFormat="1" ht="15.75">
      <c r="A29" s="9"/>
      <c r="B29" s="46"/>
      <c r="C29" s="47"/>
      <c r="D29" s="46"/>
      <c r="E29" s="46"/>
      <c r="F29" s="46"/>
    </row>
  </sheetData>
  <mergeCells count="2">
    <mergeCell ref="A1:F1"/>
    <mergeCell ref="A21:C21"/>
  </mergeCells>
  <phoneticPr fontId="0" type="noConversion"/>
  <pageMargins left="0.19685039370078741" right="0.19685039370078741" top="0.86614173228346458" bottom="0.6692913385826772" header="0.51181102362204722" footer="0.39370078740157483"/>
  <pageSetup paperSize="9" orientation="portrait" horizontalDpi="150" verticalDpi="150"/>
  <headerFooter alignWithMargins="0">
    <oddHeader>&amp;R3.12</oddHeader>
    <oddFooter>&amp;Limprimé le 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Feuil15" enableFormatConditionsCalculation="0">
    <tabColor theme="8" tint="0.39997558519241921"/>
  </sheetPr>
  <dimension ref="A1:M1984"/>
  <sheetViews>
    <sheetView showGridLines="0" zoomScale="75" zoomScaleNormal="100" workbookViewId="0">
      <selection activeCell="A7" sqref="A7"/>
    </sheetView>
  </sheetViews>
  <sheetFormatPr baseColWidth="10" defaultRowHeight="12.75"/>
  <cols>
    <col min="1" max="1" width="13.7109375" style="27" customWidth="1"/>
    <col min="2" max="2" width="15" style="27" customWidth="1"/>
    <col min="3" max="3" width="13.42578125" style="27" customWidth="1"/>
    <col min="4" max="4" width="14.42578125" style="27" customWidth="1"/>
    <col min="5" max="5" width="14.7109375" style="27" customWidth="1"/>
    <col min="6" max="6" width="15.42578125" style="27" customWidth="1"/>
    <col min="7" max="7" width="11.42578125" style="27"/>
    <col min="8" max="8" width="13" style="27" bestFit="1" customWidth="1"/>
    <col min="9" max="9" width="16.42578125" style="27" bestFit="1" customWidth="1"/>
    <col min="10" max="10" width="13.140625" style="27" bestFit="1" customWidth="1"/>
    <col min="11" max="12" width="15" style="27" bestFit="1" customWidth="1"/>
    <col min="13" max="16384" width="11.42578125" style="27"/>
  </cols>
  <sheetData>
    <row r="1" spans="1:13" ht="22.5">
      <c r="A1" s="858" t="s">
        <v>273</v>
      </c>
      <c r="B1" s="859"/>
      <c r="C1" s="859"/>
      <c r="D1" s="859"/>
      <c r="E1" s="859"/>
      <c r="F1" s="859"/>
      <c r="G1" s="859"/>
      <c r="H1" s="859"/>
      <c r="I1" s="859"/>
      <c r="J1" s="859"/>
      <c r="K1" s="859"/>
      <c r="L1" s="859"/>
      <c r="M1" s="859"/>
    </row>
    <row r="2" spans="1:13" ht="17.25" thickBot="1">
      <c r="A2" s="78"/>
      <c r="B2" s="78"/>
      <c r="C2" s="78"/>
      <c r="D2" s="78"/>
      <c r="E2" s="78"/>
      <c r="F2" s="78"/>
    </row>
    <row r="3" spans="1:13" ht="18">
      <c r="A3" s="855" t="str">
        <f>'1.0 Plan de financement'!H8</f>
        <v xml:space="preserve">              Prêt d'Honneur</v>
      </c>
      <c r="B3" s="856"/>
      <c r="C3" s="856"/>
      <c r="D3" s="856"/>
      <c r="E3" s="856"/>
      <c r="F3" s="857"/>
      <c r="H3" s="855" t="str">
        <f>'1.0 Plan de financement'!H15</f>
        <v xml:space="preserve">              Avance Remboursable Etat NACRE</v>
      </c>
      <c r="I3" s="856"/>
      <c r="J3" s="856"/>
      <c r="K3" s="856"/>
      <c r="L3" s="856"/>
      <c r="M3" s="857"/>
    </row>
    <row r="4" spans="1:13" ht="18">
      <c r="A4" s="632" t="s">
        <v>180</v>
      </c>
      <c r="B4" s="150" t="s">
        <v>98</v>
      </c>
      <c r="C4" s="150" t="s">
        <v>179</v>
      </c>
      <c r="D4" s="150" t="s">
        <v>178</v>
      </c>
      <c r="E4" s="150" t="s">
        <v>178</v>
      </c>
      <c r="F4" s="633" t="s">
        <v>0</v>
      </c>
      <c r="H4" s="632" t="s">
        <v>180</v>
      </c>
      <c r="I4" s="150" t="s">
        <v>98</v>
      </c>
      <c r="J4" s="150" t="s">
        <v>179</v>
      </c>
      <c r="K4" s="150" t="s">
        <v>178</v>
      </c>
      <c r="L4" s="150" t="s">
        <v>178</v>
      </c>
      <c r="M4" s="633" t="s">
        <v>0</v>
      </c>
    </row>
    <row r="5" spans="1:13" ht="18">
      <c r="A5" s="632" t="s">
        <v>181</v>
      </c>
      <c r="B5" s="150" t="s">
        <v>182</v>
      </c>
      <c r="C5" s="150" t="s">
        <v>99</v>
      </c>
      <c r="D5" s="150" t="s">
        <v>176</v>
      </c>
      <c r="E5" s="150" t="s">
        <v>177</v>
      </c>
      <c r="F5" s="633"/>
      <c r="H5" s="632" t="s">
        <v>181</v>
      </c>
      <c r="I5" s="150" t="s">
        <v>182</v>
      </c>
      <c r="J5" s="150" t="s">
        <v>99</v>
      </c>
      <c r="K5" s="150" t="s">
        <v>176</v>
      </c>
      <c r="L5" s="150" t="s">
        <v>177</v>
      </c>
      <c r="M5" s="633"/>
    </row>
    <row r="6" spans="1:13" ht="16.5">
      <c r="A6" s="634">
        <v>5</v>
      </c>
      <c r="B6" s="461">
        <v>1E-4</v>
      </c>
      <c r="C6" s="151">
        <f>'1.0 Plan de financement'!I8</f>
        <v>0</v>
      </c>
      <c r="D6" s="151">
        <f>C6*(B6/(1-(1+B6)^-A6))</f>
        <v>0</v>
      </c>
      <c r="E6" s="151">
        <f>C9/12</f>
        <v>0</v>
      </c>
      <c r="F6" s="635">
        <f>E6*6.55957</f>
        <v>0</v>
      </c>
      <c r="H6" s="634">
        <v>5</v>
      </c>
      <c r="I6" s="461">
        <v>1E-4</v>
      </c>
      <c r="J6" s="151">
        <f>'1.0 Plan de financement'!P8</f>
        <v>0</v>
      </c>
      <c r="K6" s="151">
        <f>J6*(I6/(1-(1+I6)^-H6))</f>
        <v>0</v>
      </c>
      <c r="L6" s="151">
        <f>J9/12</f>
        <v>0</v>
      </c>
      <c r="M6" s="635">
        <f>L6*6.55957</f>
        <v>0</v>
      </c>
    </row>
    <row r="7" spans="1:13" ht="16.5">
      <c r="A7" s="636" t="s">
        <v>100</v>
      </c>
      <c r="B7" s="152" t="s">
        <v>101</v>
      </c>
      <c r="C7" s="152" t="s">
        <v>102</v>
      </c>
      <c r="D7" s="152" t="s">
        <v>103</v>
      </c>
      <c r="E7" s="152" t="s">
        <v>101</v>
      </c>
      <c r="F7" s="637" t="s">
        <v>101</v>
      </c>
      <c r="H7" s="636" t="s">
        <v>100</v>
      </c>
      <c r="I7" s="152" t="s">
        <v>101</v>
      </c>
      <c r="J7" s="152" t="s">
        <v>102</v>
      </c>
      <c r="K7" s="152" t="s">
        <v>103</v>
      </c>
      <c r="L7" s="152" t="s">
        <v>101</v>
      </c>
      <c r="M7" s="637" t="s">
        <v>101</v>
      </c>
    </row>
    <row r="8" spans="1:13" ht="16.5">
      <c r="A8" s="638"/>
      <c r="B8" s="153" t="s">
        <v>104</v>
      </c>
      <c r="C8" s="153"/>
      <c r="D8" s="153" t="s">
        <v>105</v>
      </c>
      <c r="E8" s="153" t="s">
        <v>106</v>
      </c>
      <c r="F8" s="639" t="s">
        <v>107</v>
      </c>
      <c r="H8" s="638"/>
      <c r="I8" s="153" t="s">
        <v>104</v>
      </c>
      <c r="J8" s="153"/>
      <c r="K8" s="153" t="s">
        <v>105</v>
      </c>
      <c r="L8" s="153" t="s">
        <v>106</v>
      </c>
      <c r="M8" s="639" t="s">
        <v>107</v>
      </c>
    </row>
    <row r="9" spans="1:13" ht="16.5">
      <c r="A9" s="640">
        <f>1</f>
        <v>1</v>
      </c>
      <c r="B9" s="282">
        <f>C6</f>
        <v>0</v>
      </c>
      <c r="C9" s="282">
        <f>D6</f>
        <v>0</v>
      </c>
      <c r="D9" s="282">
        <f>B9*$B$6</f>
        <v>0</v>
      </c>
      <c r="E9" s="282">
        <f>C9-D9</f>
        <v>0</v>
      </c>
      <c r="F9" s="641">
        <f>B9-E9</f>
        <v>0</v>
      </c>
      <c r="H9" s="640">
        <f>1</f>
        <v>1</v>
      </c>
      <c r="I9" s="282">
        <f>J6</f>
        <v>0</v>
      </c>
      <c r="J9" s="282">
        <f>K6</f>
        <v>0</v>
      </c>
      <c r="K9" s="282">
        <f>I9*$B$6</f>
        <v>0</v>
      </c>
      <c r="L9" s="282">
        <f>J9-K9</f>
        <v>0</v>
      </c>
      <c r="M9" s="641">
        <f>I9-L9</f>
        <v>0</v>
      </c>
    </row>
    <row r="10" spans="1:13" ht="16.5">
      <c r="A10" s="642">
        <f>IF(A9=" "," ",IF(A9+1&gt;$A$6," ",A9+1))</f>
        <v>2</v>
      </c>
      <c r="B10" s="166">
        <f t="shared" ref="B10:B15" si="0">IF(A9=" "," ",IF(A9+1&gt;$A$6," ",F9))</f>
        <v>0</v>
      </c>
      <c r="C10" s="166">
        <f t="shared" ref="C10:C15" si="1">IF(A9=" "," ",IF(A9+1&gt;$A$6," ",C9))</f>
        <v>0</v>
      </c>
      <c r="D10" s="166">
        <f t="shared" ref="D10:D15" si="2">IF(A9=" "," ",IF(A9+1&gt;$A$6," ",B10*$B$6))</f>
        <v>0</v>
      </c>
      <c r="E10" s="166">
        <f t="shared" ref="E10:E15" si="3">IF(A9=" "," ",IF(A9+1&gt;$A$6," ",C10-D10))</f>
        <v>0</v>
      </c>
      <c r="F10" s="643">
        <f t="shared" ref="F10:F15" si="4">IF(A9=" "," ",IF(A9+1&gt;$A$6," ",B10-E10))</f>
        <v>0</v>
      </c>
      <c r="H10" s="642">
        <f>IF(H9=" "," ",IF(H9+1&gt;$A$6," ",H9+1))</f>
        <v>2</v>
      </c>
      <c r="I10" s="166">
        <f t="shared" ref="I10:I15" si="5">IF(H9=" "," ",IF(H9+1&gt;$A$6," ",M9))</f>
        <v>0</v>
      </c>
      <c r="J10" s="166">
        <f t="shared" ref="J10:J15" si="6">IF(H9=" "," ",IF(H9+1&gt;$A$6," ",J9))</f>
        <v>0</v>
      </c>
      <c r="K10" s="166">
        <f t="shared" ref="K10:K15" si="7">IF(H9=" "," ",IF(H9+1&gt;$A$6," ",I10*$B$6))</f>
        <v>0</v>
      </c>
      <c r="L10" s="166">
        <f t="shared" ref="L10:L15" si="8">IF(H9=" "," ",IF(H9+1&gt;$A$6," ",J10-K10))</f>
        <v>0</v>
      </c>
      <c r="M10" s="643">
        <f t="shared" ref="M10:M15" si="9">IF(H9=" "," ",IF(H9+1&gt;$A$6," ",I10-L10))</f>
        <v>0</v>
      </c>
    </row>
    <row r="11" spans="1:13" ht="16.5">
      <c r="A11" s="642">
        <f>IF(A10=" "," ",IF(A10+1&gt;$A$6," ",A10+1))</f>
        <v>3</v>
      </c>
      <c r="B11" s="166">
        <f t="shared" si="0"/>
        <v>0</v>
      </c>
      <c r="C11" s="166">
        <f t="shared" si="1"/>
        <v>0</v>
      </c>
      <c r="D11" s="166">
        <f t="shared" si="2"/>
        <v>0</v>
      </c>
      <c r="E11" s="166">
        <f t="shared" si="3"/>
        <v>0</v>
      </c>
      <c r="F11" s="643">
        <f t="shared" si="4"/>
        <v>0</v>
      </c>
      <c r="H11" s="642">
        <f>IF(H10=" "," ",IF(H10+1&gt;$A$6," ",H10+1))</f>
        <v>3</v>
      </c>
      <c r="I11" s="166">
        <f t="shared" si="5"/>
        <v>0</v>
      </c>
      <c r="J11" s="166">
        <f t="shared" si="6"/>
        <v>0</v>
      </c>
      <c r="K11" s="166">
        <f t="shared" si="7"/>
        <v>0</v>
      </c>
      <c r="L11" s="166">
        <f t="shared" si="8"/>
        <v>0</v>
      </c>
      <c r="M11" s="643">
        <f t="shared" si="9"/>
        <v>0</v>
      </c>
    </row>
    <row r="12" spans="1:13" ht="16.5">
      <c r="A12" s="642">
        <f>IF(A11=" "," ",IF(A11+1&gt;$A$6," ",A11+1))</f>
        <v>4</v>
      </c>
      <c r="B12" s="166">
        <f t="shared" si="0"/>
        <v>0</v>
      </c>
      <c r="C12" s="166">
        <f t="shared" si="1"/>
        <v>0</v>
      </c>
      <c r="D12" s="166">
        <f t="shared" si="2"/>
        <v>0</v>
      </c>
      <c r="E12" s="166">
        <f t="shared" si="3"/>
        <v>0</v>
      </c>
      <c r="F12" s="643">
        <f t="shared" si="4"/>
        <v>0</v>
      </c>
      <c r="H12" s="642">
        <f>IF(H11=" "," ",IF(H11+1&gt;$A$6," ",H11+1))</f>
        <v>4</v>
      </c>
      <c r="I12" s="166">
        <f t="shared" si="5"/>
        <v>0</v>
      </c>
      <c r="J12" s="166">
        <f t="shared" si="6"/>
        <v>0</v>
      </c>
      <c r="K12" s="166">
        <f t="shared" si="7"/>
        <v>0</v>
      </c>
      <c r="L12" s="166">
        <f t="shared" si="8"/>
        <v>0</v>
      </c>
      <c r="M12" s="643">
        <f t="shared" si="9"/>
        <v>0</v>
      </c>
    </row>
    <row r="13" spans="1:13" ht="16.5">
      <c r="A13" s="642">
        <f>IF(A12=" "," ",IF(A12+1&gt;$A$6," ",A12+1))</f>
        <v>5</v>
      </c>
      <c r="B13" s="166">
        <f t="shared" si="0"/>
        <v>0</v>
      </c>
      <c r="C13" s="166">
        <f t="shared" si="1"/>
        <v>0</v>
      </c>
      <c r="D13" s="166">
        <f t="shared" si="2"/>
        <v>0</v>
      </c>
      <c r="E13" s="166">
        <f t="shared" si="3"/>
        <v>0</v>
      </c>
      <c r="F13" s="643">
        <f t="shared" si="4"/>
        <v>0</v>
      </c>
      <c r="H13" s="642">
        <f>IF(H12=" "," ",IF(H12+1&gt;$A$6," ",H12+1))</f>
        <v>5</v>
      </c>
      <c r="I13" s="166">
        <f t="shared" si="5"/>
        <v>0</v>
      </c>
      <c r="J13" s="166">
        <f t="shared" si="6"/>
        <v>0</v>
      </c>
      <c r="K13" s="166">
        <f t="shared" si="7"/>
        <v>0</v>
      </c>
      <c r="L13" s="166">
        <f t="shared" si="8"/>
        <v>0</v>
      </c>
      <c r="M13" s="643">
        <f t="shared" si="9"/>
        <v>0</v>
      </c>
    </row>
    <row r="14" spans="1:13" ht="16.5">
      <c r="A14" s="642">
        <v>6</v>
      </c>
      <c r="B14" s="166" t="str">
        <f t="shared" si="0"/>
        <v xml:space="preserve"> </v>
      </c>
      <c r="C14" s="166" t="str">
        <f t="shared" si="1"/>
        <v xml:space="preserve"> </v>
      </c>
      <c r="D14" s="166" t="str">
        <f t="shared" si="2"/>
        <v xml:space="preserve"> </v>
      </c>
      <c r="E14" s="166" t="str">
        <f t="shared" si="3"/>
        <v xml:space="preserve"> </v>
      </c>
      <c r="F14" s="643" t="str">
        <f t="shared" si="4"/>
        <v xml:space="preserve"> </v>
      </c>
      <c r="H14" s="642">
        <v>6</v>
      </c>
      <c r="I14" s="166" t="str">
        <f t="shared" si="5"/>
        <v xml:space="preserve"> </v>
      </c>
      <c r="J14" s="166" t="str">
        <f t="shared" si="6"/>
        <v xml:space="preserve"> </v>
      </c>
      <c r="K14" s="166" t="str">
        <f t="shared" si="7"/>
        <v xml:space="preserve"> </v>
      </c>
      <c r="L14" s="166" t="str">
        <f t="shared" si="8"/>
        <v xml:space="preserve"> </v>
      </c>
      <c r="M14" s="643" t="str">
        <f t="shared" si="9"/>
        <v xml:space="preserve"> </v>
      </c>
    </row>
    <row r="15" spans="1:13" ht="17.25" thickBot="1">
      <c r="A15" s="644">
        <v>7</v>
      </c>
      <c r="B15" s="645" t="str">
        <f t="shared" si="0"/>
        <v xml:space="preserve"> </v>
      </c>
      <c r="C15" s="645" t="str">
        <f t="shared" si="1"/>
        <v xml:space="preserve"> </v>
      </c>
      <c r="D15" s="645" t="str">
        <f t="shared" si="2"/>
        <v xml:space="preserve"> </v>
      </c>
      <c r="E15" s="645" t="str">
        <f t="shared" si="3"/>
        <v xml:space="preserve"> </v>
      </c>
      <c r="F15" s="646" t="str">
        <f t="shared" si="4"/>
        <v xml:space="preserve"> </v>
      </c>
      <c r="H15" s="644">
        <v>7</v>
      </c>
      <c r="I15" s="645" t="str">
        <f t="shared" si="5"/>
        <v xml:space="preserve"> </v>
      </c>
      <c r="J15" s="645" t="str">
        <f t="shared" si="6"/>
        <v xml:space="preserve"> </v>
      </c>
      <c r="K15" s="645" t="str">
        <f t="shared" si="7"/>
        <v xml:space="preserve"> </v>
      </c>
      <c r="L15" s="645" t="str">
        <f t="shared" si="8"/>
        <v xml:space="preserve"> </v>
      </c>
      <c r="M15" s="646" t="str">
        <f t="shared" si="9"/>
        <v xml:space="preserve"> </v>
      </c>
    </row>
    <row r="16" spans="1:13" customFormat="1" ht="13.5" thickBot="1"/>
    <row r="17" spans="1:13" customFormat="1" ht="18">
      <c r="A17" s="860" t="str">
        <f>'1.0 Plan de financement'!H13</f>
        <v xml:space="preserve">              Emprunt Bancaire</v>
      </c>
      <c r="B17" s="861"/>
      <c r="C17" s="861"/>
      <c r="D17" s="861"/>
      <c r="E17" s="861"/>
      <c r="F17" s="862"/>
      <c r="H17" s="860" t="str">
        <f>'1.0 Plan de financement'!H14</f>
        <v xml:space="preserve">              Autres Emprunts (PCE….)</v>
      </c>
      <c r="I17" s="861"/>
      <c r="J17" s="861"/>
      <c r="K17" s="861"/>
      <c r="L17" s="861"/>
      <c r="M17" s="862"/>
    </row>
    <row r="18" spans="1:13" customFormat="1" ht="18">
      <c r="A18" s="632" t="s">
        <v>180</v>
      </c>
      <c r="B18" s="150" t="s">
        <v>98</v>
      </c>
      <c r="C18" s="150" t="s">
        <v>179</v>
      </c>
      <c r="D18" s="150" t="s">
        <v>178</v>
      </c>
      <c r="E18" s="150" t="s">
        <v>178</v>
      </c>
      <c r="F18" s="633" t="s">
        <v>0</v>
      </c>
      <c r="H18" s="632" t="s">
        <v>180</v>
      </c>
      <c r="I18" s="150" t="s">
        <v>98</v>
      </c>
      <c r="J18" s="150" t="s">
        <v>179</v>
      </c>
      <c r="K18" s="150" t="s">
        <v>178</v>
      </c>
      <c r="L18" s="150" t="s">
        <v>178</v>
      </c>
      <c r="M18" s="633" t="s">
        <v>0</v>
      </c>
    </row>
    <row r="19" spans="1:13" customFormat="1" ht="18">
      <c r="A19" s="632" t="s">
        <v>181</v>
      </c>
      <c r="B19" s="150" t="s">
        <v>182</v>
      </c>
      <c r="C19" s="150" t="s">
        <v>99</v>
      </c>
      <c r="D19" s="150" t="s">
        <v>176</v>
      </c>
      <c r="E19" s="150" t="s">
        <v>177</v>
      </c>
      <c r="F19" s="633"/>
      <c r="H19" s="632" t="s">
        <v>181</v>
      </c>
      <c r="I19" s="150" t="s">
        <v>182</v>
      </c>
      <c r="J19" s="150" t="s">
        <v>99</v>
      </c>
      <c r="K19" s="150" t="s">
        <v>176</v>
      </c>
      <c r="L19" s="150" t="s">
        <v>177</v>
      </c>
      <c r="M19" s="633"/>
    </row>
    <row r="20" spans="1:13" customFormat="1" ht="16.5">
      <c r="A20" s="634">
        <v>5</v>
      </c>
      <c r="B20" s="584">
        <v>4.4999999999999998E-2</v>
      </c>
      <c r="C20" s="151">
        <f>'1.0 Plan de financement'!I13</f>
        <v>0</v>
      </c>
      <c r="D20" s="151">
        <f>C20*(B20/(1-(1+B20)^-A20))</f>
        <v>0</v>
      </c>
      <c r="E20" s="151">
        <f>C23/12</f>
        <v>0</v>
      </c>
      <c r="F20" s="635">
        <f>E20*6.55957</f>
        <v>0</v>
      </c>
      <c r="H20" s="634">
        <v>5</v>
      </c>
      <c r="I20" s="584">
        <v>4.4999999999999998E-2</v>
      </c>
      <c r="J20" s="151">
        <f>'1.0 Plan de financement'!I14</f>
        <v>0</v>
      </c>
      <c r="K20" s="151">
        <f>J20*(I20/(1-(1+I20)^-H20))</f>
        <v>0</v>
      </c>
      <c r="L20" s="151">
        <f>J23/12</f>
        <v>0</v>
      </c>
      <c r="M20" s="635">
        <f>L20*6.55957</f>
        <v>0</v>
      </c>
    </row>
    <row r="21" spans="1:13" customFormat="1" ht="16.5">
      <c r="A21" s="636" t="s">
        <v>100</v>
      </c>
      <c r="B21" s="152" t="s">
        <v>101</v>
      </c>
      <c r="C21" s="152" t="s">
        <v>102</v>
      </c>
      <c r="D21" s="152" t="s">
        <v>103</v>
      </c>
      <c r="E21" s="152" t="s">
        <v>101</v>
      </c>
      <c r="F21" s="637" t="s">
        <v>101</v>
      </c>
      <c r="H21" s="636" t="s">
        <v>100</v>
      </c>
      <c r="I21" s="152" t="s">
        <v>101</v>
      </c>
      <c r="J21" s="152" t="s">
        <v>102</v>
      </c>
      <c r="K21" s="152" t="s">
        <v>103</v>
      </c>
      <c r="L21" s="152" t="s">
        <v>101</v>
      </c>
      <c r="M21" s="637" t="s">
        <v>101</v>
      </c>
    </row>
    <row r="22" spans="1:13" customFormat="1" ht="16.5">
      <c r="A22" s="638"/>
      <c r="B22" s="153" t="s">
        <v>104</v>
      </c>
      <c r="C22" s="153"/>
      <c r="D22" s="153" t="s">
        <v>105</v>
      </c>
      <c r="E22" s="153" t="s">
        <v>106</v>
      </c>
      <c r="F22" s="639" t="s">
        <v>107</v>
      </c>
      <c r="H22" s="638"/>
      <c r="I22" s="153" t="s">
        <v>104</v>
      </c>
      <c r="J22" s="153"/>
      <c r="K22" s="153" t="s">
        <v>105</v>
      </c>
      <c r="L22" s="153" t="s">
        <v>106</v>
      </c>
      <c r="M22" s="639" t="s">
        <v>107</v>
      </c>
    </row>
    <row r="23" spans="1:13" customFormat="1" ht="16.5">
      <c r="A23" s="640">
        <f>1</f>
        <v>1</v>
      </c>
      <c r="B23" s="282">
        <f>C20</f>
        <v>0</v>
      </c>
      <c r="C23" s="282">
        <f>D20</f>
        <v>0</v>
      </c>
      <c r="D23" s="282">
        <f>B23*$B$20</f>
        <v>0</v>
      </c>
      <c r="E23" s="282">
        <f>C23-D23</f>
        <v>0</v>
      </c>
      <c r="F23" s="641">
        <f>B23-E23</f>
        <v>0</v>
      </c>
      <c r="H23" s="640">
        <f>1</f>
        <v>1</v>
      </c>
      <c r="I23" s="282">
        <f>J20</f>
        <v>0</v>
      </c>
      <c r="J23" s="282">
        <f>K20</f>
        <v>0</v>
      </c>
      <c r="K23" s="282">
        <f>I23*$I$20</f>
        <v>0</v>
      </c>
      <c r="L23" s="282">
        <f>J23-K23</f>
        <v>0</v>
      </c>
      <c r="M23" s="641">
        <f>I23-L23</f>
        <v>0</v>
      </c>
    </row>
    <row r="24" spans="1:13" customFormat="1" ht="16.5">
      <c r="A24" s="642">
        <f>IF(A23=" "," ",IF(A23+1&gt;$A$20," ",A23+1))</f>
        <v>2</v>
      </c>
      <c r="B24" s="166">
        <f t="shared" ref="B24:B37" si="10">IF(A23=" "," ",IF(A23+1&gt;$A$20," ",F23))</f>
        <v>0</v>
      </c>
      <c r="C24" s="166">
        <f t="shared" ref="C24:C37" si="11">IF(A23=" "," ",IF(A23+1&gt;$A$20," ",C23))</f>
        <v>0</v>
      </c>
      <c r="D24" s="166">
        <f t="shared" ref="D24:D37" si="12">IF(A23=" "," ",IF(A23+1&gt;$A$20," ",B24*$B$20))</f>
        <v>0</v>
      </c>
      <c r="E24" s="166">
        <f t="shared" ref="E24:E37" si="13">IF(A23=" "," ",IF(A23+1&gt;$A$20," ",C24-D24))</f>
        <v>0</v>
      </c>
      <c r="F24" s="643">
        <f t="shared" ref="F24:F37" si="14">IF(A23=" "," ",IF(A23+1&gt;$A$20," ",B24-E24))</f>
        <v>0</v>
      </c>
      <c r="H24" s="642">
        <f>IF(H23=" "," ",IF(H23+1&gt;$H$20," ",H23+1))</f>
        <v>2</v>
      </c>
      <c r="I24" s="166">
        <f>IF(H23=" "," ",IF(H23+1&gt;$H$20," ",M23))</f>
        <v>0</v>
      </c>
      <c r="J24" s="166">
        <f>IF(H23=" "," ",IF(H23+1&gt;$H$20," ",J23))</f>
        <v>0</v>
      </c>
      <c r="K24" s="166">
        <f>IF(H23=" "," ",IF(H23+1&gt;$H$20," ",I24*$I$20))</f>
        <v>0</v>
      </c>
      <c r="L24" s="166">
        <f>IF(H23=" "," ",IF(H23+1&gt;$H$20," ",J24-K24))</f>
        <v>0</v>
      </c>
      <c r="M24" s="643">
        <f>IF(H23=" "," ",IF(H23+1&gt;$H$20," ",I24-L24))</f>
        <v>0</v>
      </c>
    </row>
    <row r="25" spans="1:13" customFormat="1" ht="16.5">
      <c r="A25" s="642">
        <f>IF(A24=" "," ",IF(A24+1&gt;$A$20," ",A24+1))</f>
        <v>3</v>
      </c>
      <c r="B25" s="166">
        <f t="shared" si="10"/>
        <v>0</v>
      </c>
      <c r="C25" s="166">
        <f t="shared" si="11"/>
        <v>0</v>
      </c>
      <c r="D25" s="166">
        <f t="shared" si="12"/>
        <v>0</v>
      </c>
      <c r="E25" s="166">
        <f t="shared" si="13"/>
        <v>0</v>
      </c>
      <c r="F25" s="643">
        <f t="shared" si="14"/>
        <v>0</v>
      </c>
      <c r="H25" s="642">
        <f>IF(H24=" "," ",IF(H24+1&gt;$H$20," ",H24+1))</f>
        <v>3</v>
      </c>
      <c r="I25" s="166">
        <f>IF(H24=" "," ",IF(H24+1&gt;$H$20," ",M24))</f>
        <v>0</v>
      </c>
      <c r="J25" s="166">
        <f>IF(H24=" "," ",IF(H24+1&gt;$H$20," ",J24))</f>
        <v>0</v>
      </c>
      <c r="K25" s="166">
        <f>IF(H24=" "," ",IF(H24+1&gt;$H$20," ",I25*$I$20))</f>
        <v>0</v>
      </c>
      <c r="L25" s="166">
        <f>IF(H24=" "," ",IF(H24+1&gt;$H$20," ",J25-K25))</f>
        <v>0</v>
      </c>
      <c r="M25" s="643">
        <f>IF(H24=" "," ",IF(H24+1&gt;$H$20," ",I25-L25))</f>
        <v>0</v>
      </c>
    </row>
    <row r="26" spans="1:13" customFormat="1" ht="16.5">
      <c r="A26" s="642">
        <f>IF(A25=" "," ",IF(A25+1&gt;$A$20," ",A25+1))</f>
        <v>4</v>
      </c>
      <c r="B26" s="166">
        <f t="shared" si="10"/>
        <v>0</v>
      </c>
      <c r="C26" s="166">
        <f t="shared" si="11"/>
        <v>0</v>
      </c>
      <c r="D26" s="166">
        <f t="shared" si="12"/>
        <v>0</v>
      </c>
      <c r="E26" s="166">
        <f t="shared" si="13"/>
        <v>0</v>
      </c>
      <c r="F26" s="643">
        <f t="shared" si="14"/>
        <v>0</v>
      </c>
      <c r="H26" s="642">
        <f>IF(H25=" "," ",IF(H25+1&gt;$H$20," ",H25+1))</f>
        <v>4</v>
      </c>
      <c r="I26" s="166">
        <f>IF(H25=" "," ",IF(H25+1&gt;$H$20," ",M25))</f>
        <v>0</v>
      </c>
      <c r="J26" s="166">
        <f>IF(H25=" "," ",IF(H25+1&gt;$H$20," ",J25))</f>
        <v>0</v>
      </c>
      <c r="K26" s="166">
        <f>IF(H25=" "," ",IF(H25+1&gt;$H$20," ",I26*$I$20))</f>
        <v>0</v>
      </c>
      <c r="L26" s="166">
        <f>IF(H25=" "," ",IF(H25+1&gt;$H$20," ",J26-K26))</f>
        <v>0</v>
      </c>
      <c r="M26" s="643">
        <f>IF(H25=" "," ",IF(H25+1&gt;$H$20," ",I26-L26))</f>
        <v>0</v>
      </c>
    </row>
    <row r="27" spans="1:13" customFormat="1" ht="17.25" thickBot="1">
      <c r="A27" s="642">
        <v>5</v>
      </c>
      <c r="B27" s="166">
        <f t="shared" si="10"/>
        <v>0</v>
      </c>
      <c r="C27" s="166">
        <f t="shared" si="11"/>
        <v>0</v>
      </c>
      <c r="D27" s="166">
        <f t="shared" si="12"/>
        <v>0</v>
      </c>
      <c r="E27" s="166">
        <f t="shared" si="13"/>
        <v>0</v>
      </c>
      <c r="F27" s="643">
        <f t="shared" si="14"/>
        <v>0</v>
      </c>
      <c r="H27" s="644">
        <f>IF(H26=" "," ",IF(H26+1&gt;$H$20," ",H26+1))</f>
        <v>5</v>
      </c>
      <c r="I27" s="645">
        <f>IF(H26=" "," ",IF(H26+1&gt;$H$20," ",M26))</f>
        <v>0</v>
      </c>
      <c r="J27" s="645">
        <f>IF(H26=" "," ",IF(H26+1&gt;$H$20," ",J26))</f>
        <v>0</v>
      </c>
      <c r="K27" s="645">
        <f>IF(H26=" "," ",IF(H26+1&gt;$H$20," ",I27*$I$20))</f>
        <v>0</v>
      </c>
      <c r="L27" s="645">
        <f>IF(H26=" "," ",IF(H26+1&gt;$H$20," ",J27-K27))</f>
        <v>0</v>
      </c>
      <c r="M27" s="646">
        <f>IF(H26=" "," ",IF(H26+1&gt;$H$20," ",I27-L27))</f>
        <v>0</v>
      </c>
    </row>
    <row r="28" spans="1:13" customFormat="1" ht="17.25" thickBot="1">
      <c r="A28" s="642">
        <v>6</v>
      </c>
      <c r="B28" s="166" t="str">
        <f t="shared" si="10"/>
        <v xml:space="preserve"> </v>
      </c>
      <c r="C28" s="166" t="str">
        <f t="shared" si="11"/>
        <v xml:space="preserve"> </v>
      </c>
      <c r="D28" s="166" t="str">
        <f t="shared" si="12"/>
        <v xml:space="preserve"> </v>
      </c>
      <c r="E28" s="166" t="str">
        <f t="shared" si="13"/>
        <v xml:space="preserve"> </v>
      </c>
      <c r="F28" s="643" t="str">
        <f t="shared" si="14"/>
        <v xml:space="preserve"> </v>
      </c>
      <c r="H28" s="498"/>
      <c r="I28" s="499"/>
      <c r="J28" s="499"/>
      <c r="K28" s="499"/>
      <c r="L28" s="499"/>
      <c r="M28" s="499"/>
    </row>
    <row r="29" spans="1:13" customFormat="1" ht="18">
      <c r="A29" s="642">
        <v>7</v>
      </c>
      <c r="B29" s="166" t="str">
        <f t="shared" si="10"/>
        <v xml:space="preserve"> </v>
      </c>
      <c r="C29" s="166" t="str">
        <f t="shared" si="11"/>
        <v xml:space="preserve"> </v>
      </c>
      <c r="D29" s="166" t="str">
        <f t="shared" si="12"/>
        <v xml:space="preserve"> </v>
      </c>
      <c r="E29" s="166" t="str">
        <f t="shared" si="13"/>
        <v xml:space="preserve"> </v>
      </c>
      <c r="F29" s="643" t="str">
        <f t="shared" si="14"/>
        <v xml:space="preserve"> </v>
      </c>
      <c r="H29" s="647"/>
      <c r="I29" s="648" t="str">
        <f>'1.0 Plan de financement'!H22</f>
        <v xml:space="preserve">              Crédits Court Terme</v>
      </c>
      <c r="J29" s="649"/>
      <c r="K29" s="650"/>
      <c r="L29" s="499"/>
      <c r="M29" s="499"/>
    </row>
    <row r="30" spans="1:13" customFormat="1" ht="18">
      <c r="A30" s="642">
        <v>8</v>
      </c>
      <c r="B30" s="166" t="str">
        <f t="shared" si="10"/>
        <v xml:space="preserve"> </v>
      </c>
      <c r="C30" s="166" t="str">
        <f t="shared" si="11"/>
        <v xml:space="preserve"> </v>
      </c>
      <c r="D30" s="166" t="str">
        <f t="shared" si="12"/>
        <v xml:space="preserve"> </v>
      </c>
      <c r="E30" s="166" t="str">
        <f t="shared" si="13"/>
        <v xml:space="preserve"> </v>
      </c>
      <c r="F30" s="643" t="str">
        <f t="shared" si="14"/>
        <v xml:space="preserve"> </v>
      </c>
      <c r="H30" s="632" t="s">
        <v>180</v>
      </c>
      <c r="I30" s="150" t="s">
        <v>98</v>
      </c>
      <c r="J30" s="150" t="s">
        <v>179</v>
      </c>
      <c r="K30" s="651" t="s">
        <v>179</v>
      </c>
    </row>
    <row r="31" spans="1:13" customFormat="1" ht="18">
      <c r="A31" s="642">
        <v>9</v>
      </c>
      <c r="B31" s="166" t="str">
        <f t="shared" si="10"/>
        <v xml:space="preserve"> </v>
      </c>
      <c r="C31" s="166" t="str">
        <f t="shared" si="11"/>
        <v xml:space="preserve"> </v>
      </c>
      <c r="D31" s="166" t="str">
        <f t="shared" si="12"/>
        <v xml:space="preserve"> </v>
      </c>
      <c r="E31" s="166" t="str">
        <f t="shared" si="13"/>
        <v xml:space="preserve"> </v>
      </c>
      <c r="F31" s="643" t="str">
        <f t="shared" si="14"/>
        <v xml:space="preserve"> </v>
      </c>
      <c r="H31" s="632" t="s">
        <v>320</v>
      </c>
      <c r="I31" s="150" t="s">
        <v>182</v>
      </c>
      <c r="J31" s="150" t="s">
        <v>321</v>
      </c>
      <c r="K31" s="651" t="s">
        <v>322</v>
      </c>
    </row>
    <row r="32" spans="1:13" customFormat="1" ht="17.25" thickBot="1">
      <c r="A32" s="642">
        <v>10</v>
      </c>
      <c r="B32" s="166" t="str">
        <f t="shared" si="10"/>
        <v xml:space="preserve"> </v>
      </c>
      <c r="C32" s="166" t="str">
        <f t="shared" si="11"/>
        <v xml:space="preserve"> </v>
      </c>
      <c r="D32" s="166" t="str">
        <f t="shared" si="12"/>
        <v xml:space="preserve"> </v>
      </c>
      <c r="E32" s="166" t="str">
        <f t="shared" si="13"/>
        <v xml:space="preserve"> </v>
      </c>
      <c r="F32" s="643" t="str">
        <f t="shared" si="14"/>
        <v xml:space="preserve"> </v>
      </c>
      <c r="H32" s="652">
        <v>3</v>
      </c>
      <c r="I32" s="653">
        <v>0.08</v>
      </c>
      <c r="J32" s="654">
        <f>'1.0 Plan de financement'!I22</f>
        <v>0</v>
      </c>
      <c r="K32" s="655">
        <f>J32*I32*H32/12</f>
        <v>0</v>
      </c>
    </row>
    <row r="33" spans="1:6" customFormat="1" ht="16.5">
      <c r="A33" s="642">
        <v>11</v>
      </c>
      <c r="B33" s="166" t="str">
        <f t="shared" si="10"/>
        <v xml:space="preserve"> </v>
      </c>
      <c r="C33" s="166" t="str">
        <f t="shared" si="11"/>
        <v xml:space="preserve"> </v>
      </c>
      <c r="D33" s="166" t="str">
        <f t="shared" si="12"/>
        <v xml:space="preserve"> </v>
      </c>
      <c r="E33" s="166" t="str">
        <f t="shared" si="13"/>
        <v xml:space="preserve"> </v>
      </c>
      <c r="F33" s="643" t="str">
        <f t="shared" si="14"/>
        <v xml:space="preserve"> </v>
      </c>
    </row>
    <row r="34" spans="1:6" customFormat="1" ht="16.5">
      <c r="A34" s="642">
        <v>12</v>
      </c>
      <c r="B34" s="166" t="str">
        <f t="shared" si="10"/>
        <v xml:space="preserve"> </v>
      </c>
      <c r="C34" s="166" t="str">
        <f t="shared" si="11"/>
        <v xml:space="preserve"> </v>
      </c>
      <c r="D34" s="166" t="str">
        <f t="shared" si="12"/>
        <v xml:space="preserve"> </v>
      </c>
      <c r="E34" s="166" t="str">
        <f t="shared" si="13"/>
        <v xml:space="preserve"> </v>
      </c>
      <c r="F34" s="643" t="str">
        <f t="shared" si="14"/>
        <v xml:space="preserve"> </v>
      </c>
    </row>
    <row r="35" spans="1:6" customFormat="1" ht="16.5">
      <c r="A35" s="642">
        <v>13</v>
      </c>
      <c r="B35" s="166" t="str">
        <f t="shared" si="10"/>
        <v xml:space="preserve"> </v>
      </c>
      <c r="C35" s="166" t="str">
        <f t="shared" si="11"/>
        <v xml:space="preserve"> </v>
      </c>
      <c r="D35" s="166" t="str">
        <f t="shared" si="12"/>
        <v xml:space="preserve"> </v>
      </c>
      <c r="E35" s="166" t="str">
        <f t="shared" si="13"/>
        <v xml:space="preserve"> </v>
      </c>
      <c r="F35" s="643" t="str">
        <f t="shared" si="14"/>
        <v xml:space="preserve"> </v>
      </c>
    </row>
    <row r="36" spans="1:6" customFormat="1" ht="16.5">
      <c r="A36" s="642">
        <v>14</v>
      </c>
      <c r="B36" s="166" t="str">
        <f t="shared" si="10"/>
        <v xml:space="preserve"> </v>
      </c>
      <c r="C36" s="166" t="str">
        <f t="shared" si="11"/>
        <v xml:space="preserve"> </v>
      </c>
      <c r="D36" s="166" t="str">
        <f t="shared" si="12"/>
        <v xml:space="preserve"> </v>
      </c>
      <c r="E36" s="166" t="str">
        <f t="shared" si="13"/>
        <v xml:space="preserve"> </v>
      </c>
      <c r="F36" s="643" t="str">
        <f t="shared" si="14"/>
        <v xml:space="preserve"> </v>
      </c>
    </row>
    <row r="37" spans="1:6" customFormat="1" ht="17.25" thickBot="1">
      <c r="A37" s="644">
        <v>15</v>
      </c>
      <c r="B37" s="645" t="str">
        <f t="shared" si="10"/>
        <v xml:space="preserve"> </v>
      </c>
      <c r="C37" s="645" t="str">
        <f t="shared" si="11"/>
        <v xml:space="preserve"> </v>
      </c>
      <c r="D37" s="645" t="str">
        <f t="shared" si="12"/>
        <v xml:space="preserve"> </v>
      </c>
      <c r="E37" s="645" t="str">
        <f t="shared" si="13"/>
        <v xml:space="preserve"> </v>
      </c>
      <c r="F37" s="646" t="str">
        <f t="shared" si="14"/>
        <v xml:space="preserve"> </v>
      </c>
    </row>
    <row r="38" spans="1:6" customFormat="1"/>
    <row r="39" spans="1:6" customFormat="1"/>
    <row r="40" spans="1:6" customFormat="1"/>
    <row r="41" spans="1:6" customFormat="1"/>
    <row r="42" spans="1:6" customFormat="1"/>
    <row r="43" spans="1:6" customFormat="1"/>
    <row r="44" spans="1:6" customFormat="1"/>
    <row r="45" spans="1:6" customFormat="1"/>
    <row r="46" spans="1:6" customFormat="1"/>
    <row r="47" spans="1:6" customFormat="1"/>
    <row r="48" spans="1:6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spans="8:11" customFormat="1"/>
    <row r="1970" spans="8:11" customFormat="1"/>
    <row r="1971" spans="8:11" customFormat="1"/>
    <row r="1972" spans="8:11" customFormat="1"/>
    <row r="1973" spans="8:11" customFormat="1"/>
    <row r="1974" spans="8:11" customFormat="1"/>
    <row r="1975" spans="8:11" customFormat="1"/>
    <row r="1976" spans="8:11" customFormat="1"/>
    <row r="1977" spans="8:11" customFormat="1"/>
    <row r="1978" spans="8:11" customFormat="1"/>
    <row r="1979" spans="8:11" customFormat="1"/>
    <row r="1980" spans="8:11" customFormat="1"/>
    <row r="1981" spans="8:11" customFormat="1"/>
    <row r="1982" spans="8:11" customFormat="1"/>
    <row r="1983" spans="8:11" customFormat="1">
      <c r="H1983" s="27"/>
      <c r="I1983" s="27"/>
      <c r="J1983" s="27"/>
      <c r="K1983" s="27"/>
    </row>
    <row r="1984" spans="8:11" customFormat="1">
      <c r="H1984" s="27"/>
      <c r="I1984" s="27"/>
      <c r="J1984" s="27"/>
      <c r="K1984" s="27"/>
    </row>
  </sheetData>
  <mergeCells count="5">
    <mergeCell ref="H3:M3"/>
    <mergeCell ref="A1:M1"/>
    <mergeCell ref="A3:F3"/>
    <mergeCell ref="A17:F17"/>
    <mergeCell ref="H17:M17"/>
  </mergeCells>
  <phoneticPr fontId="0" type="noConversion"/>
  <pageMargins left="0.78740157480314965" right="0.39370078740157483" top="0.78740157480314965" bottom="0.19685039370078741" header="0.51181102362204722" footer="0.51181102362204722"/>
  <pageSetup paperSize="9" orientation="portrait" horizontalDpi="4294967294"/>
  <headerFooter alignWithMargins="0">
    <oddHeader>&amp;R3.131</oddHeader>
    <oddFooter>&amp;Limprimé le 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Feuil20" enableFormatConditionsCalculation="0">
    <tabColor indexed="47"/>
  </sheetPr>
  <dimension ref="A1:M26"/>
  <sheetViews>
    <sheetView zoomScale="75" workbookViewId="0">
      <selection activeCell="O10" sqref="O10"/>
    </sheetView>
  </sheetViews>
  <sheetFormatPr baseColWidth="10" defaultRowHeight="12.75"/>
  <cols>
    <col min="1" max="1" width="3.140625" customWidth="1"/>
    <col min="5" max="5" width="17.42578125" customWidth="1"/>
    <col min="6" max="6" width="7" customWidth="1"/>
    <col min="7" max="7" width="5.42578125" customWidth="1"/>
    <col min="9" max="9" width="2.28515625" customWidth="1"/>
    <col min="10" max="10" width="12" style="296" customWidth="1"/>
  </cols>
  <sheetData>
    <row r="1" spans="1:13" ht="23.25" thickBot="1">
      <c r="A1" s="863" t="s">
        <v>267</v>
      </c>
      <c r="B1" s="864"/>
      <c r="C1" s="864"/>
      <c r="D1" s="864"/>
      <c r="E1" s="864"/>
      <c r="F1" s="864"/>
      <c r="G1" s="864"/>
      <c r="H1" s="864"/>
      <c r="I1" s="864"/>
      <c r="J1" s="865"/>
      <c r="K1" s="57"/>
      <c r="L1" s="57"/>
      <c r="M1" s="57"/>
    </row>
    <row r="2" spans="1:13" ht="19.5">
      <c r="A2" s="69"/>
      <c r="B2" s="69"/>
      <c r="C2" s="69"/>
      <c r="D2" s="69"/>
      <c r="E2" s="69"/>
      <c r="F2" s="69"/>
      <c r="G2" s="69"/>
      <c r="H2" s="69"/>
      <c r="I2" s="69"/>
      <c r="J2" s="158"/>
      <c r="K2" s="57"/>
      <c r="L2" s="57"/>
      <c r="M2" s="57"/>
    </row>
    <row r="3" spans="1:13" ht="19.5">
      <c r="A3" s="69"/>
      <c r="B3" s="69"/>
      <c r="C3" s="163" t="s">
        <v>111</v>
      </c>
      <c r="D3" s="164"/>
      <c r="E3" s="164"/>
      <c r="F3" s="69"/>
      <c r="G3" s="69"/>
      <c r="H3" s="69"/>
      <c r="I3" s="69"/>
      <c r="J3" s="158"/>
      <c r="K3" s="57"/>
      <c r="L3" s="57"/>
      <c r="M3" s="57"/>
    </row>
    <row r="4" spans="1:13" ht="19.5">
      <c r="A4" s="69"/>
      <c r="B4" s="69"/>
      <c r="C4" s="163" t="s">
        <v>112</v>
      </c>
      <c r="D4" s="164"/>
      <c r="E4" s="164"/>
      <c r="F4" s="69"/>
      <c r="G4" s="69"/>
      <c r="H4" s="69"/>
      <c r="I4" s="69"/>
      <c r="J4" s="159" t="s">
        <v>268</v>
      </c>
      <c r="K4" s="57"/>
      <c r="L4" s="57"/>
      <c r="M4" s="57"/>
    </row>
    <row r="5" spans="1:13" ht="20.25" thickBot="1">
      <c r="A5" s="69"/>
      <c r="B5" s="69"/>
      <c r="C5" s="69"/>
      <c r="D5" s="69"/>
      <c r="E5" s="69"/>
      <c r="F5" s="69"/>
      <c r="G5" s="69"/>
      <c r="H5" s="69"/>
      <c r="I5" s="69"/>
      <c r="J5" s="159" t="s">
        <v>269</v>
      </c>
      <c r="K5" s="57"/>
      <c r="L5" s="57"/>
      <c r="M5" s="57"/>
    </row>
    <row r="6" spans="1:13" ht="20.25" thickBot="1">
      <c r="A6" s="158" t="s">
        <v>113</v>
      </c>
      <c r="B6" s="291" t="s">
        <v>114</v>
      </c>
      <c r="C6" s="291"/>
      <c r="D6" s="291"/>
      <c r="E6" s="291"/>
      <c r="F6" s="69"/>
      <c r="G6" s="69"/>
      <c r="H6" s="160">
        <v>0</v>
      </c>
      <c r="I6" s="69"/>
      <c r="J6" s="293">
        <f>1-H6</f>
        <v>1</v>
      </c>
      <c r="K6" s="57"/>
      <c r="L6" s="57"/>
      <c r="M6" s="57"/>
    </row>
    <row r="7" spans="1:13" ht="19.5">
      <c r="A7" s="69"/>
      <c r="B7" s="69" t="s">
        <v>115</v>
      </c>
      <c r="C7" s="69"/>
      <c r="D7" s="69"/>
      <c r="E7" s="69"/>
      <c r="F7" s="69"/>
      <c r="G7" s="69"/>
      <c r="H7" s="69"/>
      <c r="I7" s="69"/>
      <c r="J7" s="158"/>
      <c r="K7" s="57"/>
      <c r="L7" s="57"/>
      <c r="M7" s="57"/>
    </row>
    <row r="8" spans="1:13" ht="20.25" thickBot="1">
      <c r="A8" s="69"/>
      <c r="B8" s="69"/>
      <c r="C8" s="159" t="s">
        <v>116</v>
      </c>
      <c r="D8" s="69"/>
      <c r="E8" s="69"/>
      <c r="F8" s="69"/>
      <c r="G8" s="69"/>
      <c r="H8" s="69" t="s">
        <v>0</v>
      </c>
      <c r="I8" s="69"/>
      <c r="J8" s="158"/>
      <c r="K8" s="57"/>
      <c r="L8" s="57"/>
      <c r="M8" s="57"/>
    </row>
    <row r="9" spans="1:13" ht="20.25" thickBot="1">
      <c r="A9" s="158" t="s">
        <v>117</v>
      </c>
      <c r="B9" s="291" t="s">
        <v>118</v>
      </c>
      <c r="C9" s="291"/>
      <c r="D9" s="291"/>
      <c r="E9" s="291"/>
      <c r="F9" s="69" t="s">
        <v>119</v>
      </c>
      <c r="G9" s="69"/>
      <c r="H9" s="161">
        <v>2.5</v>
      </c>
      <c r="I9" s="69"/>
      <c r="J9" s="293">
        <f>1-(1/(H9/1.196))</f>
        <v>0.52160000000000006</v>
      </c>
      <c r="K9" s="57"/>
      <c r="L9" s="57"/>
      <c r="M9" s="57"/>
    </row>
    <row r="10" spans="1:13" ht="20.25" thickBot="1">
      <c r="A10" s="69"/>
      <c r="B10" s="69" t="s">
        <v>120</v>
      </c>
      <c r="C10" s="69"/>
      <c r="D10" s="69"/>
      <c r="E10" s="69"/>
      <c r="F10" s="149"/>
      <c r="G10" s="149"/>
      <c r="H10" s="149" t="s">
        <v>121</v>
      </c>
      <c r="I10" s="69"/>
      <c r="J10" s="158"/>
      <c r="K10" s="57"/>
      <c r="L10" s="57"/>
      <c r="M10" s="57"/>
    </row>
    <row r="11" spans="1:13" ht="20.25" thickBot="1">
      <c r="A11" s="69"/>
      <c r="B11" s="69"/>
      <c r="C11" s="159" t="s">
        <v>0</v>
      </c>
      <c r="D11" s="69"/>
      <c r="E11" s="69"/>
      <c r="F11" s="69" t="s">
        <v>122</v>
      </c>
      <c r="G11" s="69"/>
      <c r="H11" s="162">
        <v>3.5</v>
      </c>
      <c r="I11" s="69"/>
      <c r="J11" s="293">
        <f>1-(1/(H11/1.055))</f>
        <v>0.69857142857142862</v>
      </c>
      <c r="K11" s="57"/>
      <c r="L11" s="57"/>
      <c r="M11" s="57"/>
    </row>
    <row r="12" spans="1:13" ht="20.25" thickBot="1">
      <c r="A12" s="69"/>
      <c r="B12" s="69"/>
      <c r="C12" s="159" t="s">
        <v>116</v>
      </c>
      <c r="D12" s="69"/>
      <c r="E12" s="69"/>
      <c r="F12" s="69"/>
      <c r="G12" s="69"/>
      <c r="H12" s="72"/>
      <c r="I12" s="69"/>
      <c r="J12" s="294"/>
      <c r="K12" s="57"/>
      <c r="L12" s="57"/>
      <c r="M12" s="57"/>
    </row>
    <row r="13" spans="1:13" ht="20.25" thickBot="1">
      <c r="A13" s="158" t="s">
        <v>123</v>
      </c>
      <c r="B13" s="291" t="s">
        <v>124</v>
      </c>
      <c r="C13" s="291"/>
      <c r="D13" s="291"/>
      <c r="E13" s="291"/>
      <c r="F13" s="69"/>
      <c r="G13" s="69"/>
      <c r="H13" s="161">
        <v>2</v>
      </c>
      <c r="I13" s="69"/>
      <c r="J13" s="293">
        <f>1-(1/H13)</f>
        <v>0.5</v>
      </c>
      <c r="K13" s="57"/>
      <c r="L13" s="57"/>
      <c r="M13" s="57"/>
    </row>
    <row r="14" spans="1:13" ht="19.5">
      <c r="A14" s="69"/>
      <c r="B14" s="69" t="s">
        <v>125</v>
      </c>
      <c r="C14" s="69"/>
      <c r="D14" s="69"/>
      <c r="E14" s="69"/>
      <c r="F14" s="69"/>
      <c r="G14" s="69"/>
      <c r="H14" s="69"/>
      <c r="I14" s="69"/>
      <c r="J14" s="158" t="s">
        <v>0</v>
      </c>
      <c r="K14" s="57"/>
      <c r="L14" s="57"/>
      <c r="M14" s="57"/>
    </row>
    <row r="15" spans="1:13" ht="20.25" thickBot="1">
      <c r="A15" s="69"/>
      <c r="B15" s="69"/>
      <c r="C15" s="159" t="s">
        <v>116</v>
      </c>
      <c r="D15" s="69"/>
      <c r="E15" s="69"/>
      <c r="F15" s="69"/>
      <c r="G15" s="69"/>
      <c r="H15" s="69"/>
      <c r="I15" s="69"/>
      <c r="J15" s="158"/>
      <c r="K15" s="57"/>
      <c r="L15" s="57"/>
      <c r="M15" s="57"/>
    </row>
    <row r="16" spans="1:13" ht="20.25" thickBot="1">
      <c r="A16" s="158" t="s">
        <v>126</v>
      </c>
      <c r="B16" s="291" t="s">
        <v>127</v>
      </c>
      <c r="C16" s="291"/>
      <c r="D16" s="291"/>
      <c r="E16" s="292"/>
      <c r="F16" s="69" t="s">
        <v>119</v>
      </c>
      <c r="G16" s="69"/>
      <c r="H16" s="160">
        <v>0</v>
      </c>
      <c r="I16" s="69"/>
      <c r="J16" s="293">
        <f>H16</f>
        <v>0</v>
      </c>
      <c r="K16" s="57"/>
      <c r="L16" s="57"/>
      <c r="M16" s="57"/>
    </row>
    <row r="17" spans="1:13" ht="20.25" thickBot="1">
      <c r="A17" s="69"/>
      <c r="B17" s="69" t="s">
        <v>128</v>
      </c>
      <c r="C17" s="69"/>
      <c r="D17" s="69"/>
      <c r="E17" s="69"/>
      <c r="F17" s="149"/>
      <c r="G17" s="69"/>
      <c r="H17" s="149" t="s">
        <v>121</v>
      </c>
      <c r="I17" s="69"/>
      <c r="J17" s="158"/>
      <c r="K17" s="57"/>
      <c r="L17" s="57"/>
      <c r="M17" s="57"/>
    </row>
    <row r="18" spans="1:13" ht="20.25" thickBot="1">
      <c r="A18" s="69"/>
      <c r="B18" s="69"/>
      <c r="C18" s="159" t="s">
        <v>0</v>
      </c>
      <c r="D18" s="69"/>
      <c r="E18" s="69"/>
      <c r="F18" s="69" t="s">
        <v>122</v>
      </c>
      <c r="G18" s="69"/>
      <c r="H18" s="160">
        <v>0</v>
      </c>
      <c r="I18" s="69"/>
      <c r="J18" s="293">
        <f>H18</f>
        <v>0</v>
      </c>
      <c r="K18" s="57"/>
      <c r="L18" s="57"/>
      <c r="M18" s="57"/>
    </row>
    <row r="19" spans="1:13" ht="20.25" thickBot="1">
      <c r="A19" s="69"/>
      <c r="B19" s="69"/>
      <c r="C19" s="159" t="s">
        <v>116</v>
      </c>
      <c r="D19" s="69"/>
      <c r="E19" s="69"/>
      <c r="F19" s="69"/>
      <c r="G19" s="69"/>
      <c r="H19" s="69"/>
      <c r="I19" s="69"/>
      <c r="J19" s="294"/>
      <c r="K19" s="57"/>
      <c r="L19" s="57"/>
      <c r="M19" s="57"/>
    </row>
    <row r="20" spans="1:13" ht="20.25" thickBot="1">
      <c r="A20" s="158" t="s">
        <v>129</v>
      </c>
      <c r="B20" s="291" t="s">
        <v>130</v>
      </c>
      <c r="C20" s="291"/>
      <c r="D20" s="291"/>
      <c r="E20" s="69"/>
      <c r="F20" s="69"/>
      <c r="G20" s="69"/>
      <c r="H20" s="160">
        <v>0</v>
      </c>
      <c r="I20" s="69"/>
      <c r="J20" s="293">
        <f>H20</f>
        <v>0</v>
      </c>
      <c r="K20" s="57"/>
      <c r="L20" s="57"/>
      <c r="M20" s="57"/>
    </row>
    <row r="21" spans="1:13" ht="19.5">
      <c r="A21" s="69"/>
      <c r="B21" s="69" t="s">
        <v>131</v>
      </c>
      <c r="C21" s="69"/>
      <c r="D21" s="69"/>
      <c r="E21" s="69"/>
      <c r="F21" s="69"/>
      <c r="G21" s="69"/>
      <c r="H21" s="69"/>
      <c r="I21" s="69"/>
      <c r="J21" s="158" t="s">
        <v>0</v>
      </c>
      <c r="K21" s="57"/>
      <c r="L21" s="57"/>
      <c r="M21" s="57"/>
    </row>
    <row r="22" spans="1:13" ht="19.5">
      <c r="A22" s="57"/>
      <c r="B22" s="57"/>
      <c r="C22" s="57"/>
      <c r="D22" s="57"/>
      <c r="E22" s="57"/>
      <c r="F22" s="57"/>
      <c r="G22" s="57"/>
      <c r="H22" s="57"/>
      <c r="I22" s="57"/>
      <c r="J22" s="295"/>
      <c r="K22" s="57"/>
      <c r="L22" s="57"/>
      <c r="M22" s="57"/>
    </row>
    <row r="23" spans="1:13" ht="19.5">
      <c r="A23" s="57"/>
      <c r="B23" s="57"/>
      <c r="C23" s="57"/>
      <c r="D23" s="57"/>
      <c r="E23" s="57"/>
      <c r="F23" s="57"/>
      <c r="G23" s="57"/>
      <c r="H23" s="57"/>
      <c r="I23" s="57"/>
      <c r="J23" s="295"/>
      <c r="K23" s="57"/>
      <c r="L23" s="57"/>
      <c r="M23" s="57"/>
    </row>
    <row r="24" spans="1:13" ht="19.5">
      <c r="A24" s="57"/>
      <c r="B24" s="57"/>
      <c r="C24" s="57"/>
      <c r="D24" s="57"/>
      <c r="E24" s="57"/>
      <c r="F24" s="57"/>
      <c r="G24" s="57"/>
      <c r="H24" s="57"/>
      <c r="I24" s="57"/>
      <c r="J24" s="295"/>
      <c r="K24" s="57"/>
      <c r="L24" s="57"/>
      <c r="M24" s="57"/>
    </row>
    <row r="25" spans="1:13" ht="19.5">
      <c r="A25" s="57"/>
      <c r="B25" s="57"/>
      <c r="C25" s="57"/>
      <c r="D25" s="57"/>
      <c r="E25" s="57"/>
      <c r="F25" s="57"/>
      <c r="G25" s="57"/>
      <c r="H25" s="57"/>
      <c r="I25" s="57"/>
      <c r="J25" s="295"/>
      <c r="K25" s="57"/>
      <c r="L25" s="57"/>
      <c r="M25" s="57"/>
    </row>
    <row r="26" spans="1:13" ht="19.5">
      <c r="A26" s="57"/>
      <c r="B26" s="57"/>
      <c r="C26" s="57"/>
      <c r="D26" s="57"/>
      <c r="E26" s="57"/>
      <c r="F26" s="57"/>
      <c r="G26" s="57"/>
      <c r="H26" s="57"/>
      <c r="I26" s="57"/>
      <c r="J26" s="295"/>
      <c r="K26" s="57"/>
      <c r="L26" s="57"/>
      <c r="M26" s="57"/>
    </row>
  </sheetData>
  <mergeCells count="1">
    <mergeCell ref="A1:J1"/>
  </mergeCells>
  <phoneticPr fontId="0" type="noConversion"/>
  <printOptions gridLines="1"/>
  <pageMargins left="0.39370078740157483" right="0.39370078740157483" top="0.98425196850393704" bottom="0.98425196850393704" header="0.51181102362204722" footer="0.51181102362204722"/>
  <pageSetup paperSize="9" orientation="portrait" horizontalDpi="4294967292"/>
  <headerFooter alignWithMargins="0">
    <oddHeader>&amp;R3,5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Feuil21" enableFormatConditionsCalculation="0">
    <tabColor indexed="47"/>
  </sheetPr>
  <dimension ref="A1:J33"/>
  <sheetViews>
    <sheetView zoomScale="75" workbookViewId="0">
      <selection activeCell="G31" sqref="G31"/>
    </sheetView>
  </sheetViews>
  <sheetFormatPr baseColWidth="10" defaultRowHeight="16.5"/>
  <cols>
    <col min="1" max="1" width="43.7109375" style="78" customWidth="1"/>
    <col min="2" max="2" width="8" style="78" customWidth="1"/>
    <col min="3" max="5" width="11.42578125" style="78" customWidth="1"/>
  </cols>
  <sheetData>
    <row r="1" spans="1:10" ht="23.25" thickBot="1">
      <c r="A1" s="297" t="s">
        <v>405</v>
      </c>
      <c r="B1" s="271"/>
      <c r="C1" s="271"/>
      <c r="D1" s="271"/>
      <c r="E1" s="272"/>
    </row>
    <row r="2" spans="1:10">
      <c r="F2" s="2"/>
      <c r="G2" s="2"/>
      <c r="H2" s="2"/>
      <c r="I2" s="2"/>
    </row>
    <row r="3" spans="1:10" ht="18">
      <c r="A3"/>
      <c r="B3" s="420" t="s">
        <v>439</v>
      </c>
      <c r="C3" s="421"/>
      <c r="D3" s="422"/>
      <c r="E3" s="406"/>
      <c r="F3" s="468"/>
      <c r="G3" s="406"/>
      <c r="H3" s="406"/>
      <c r="I3" s="406"/>
      <c r="J3" s="2"/>
    </row>
    <row r="4" spans="1:10" ht="18">
      <c r="A4"/>
      <c r="B4" s="423" t="s">
        <v>402</v>
      </c>
      <c r="C4" s="424"/>
      <c r="D4" s="425"/>
      <c r="E4" s="406"/>
      <c r="F4" s="468"/>
      <c r="G4" s="469"/>
      <c r="H4" s="406"/>
      <c r="I4" s="406"/>
    </row>
    <row r="5" spans="1:10">
      <c r="A5"/>
      <c r="B5"/>
      <c r="C5"/>
      <c r="F5" s="339" t="s">
        <v>401</v>
      </c>
    </row>
    <row r="6" spans="1:10" ht="18">
      <c r="A6" s="335" t="s">
        <v>440</v>
      </c>
      <c r="B6" s="276"/>
      <c r="C6" s="336" t="s">
        <v>49</v>
      </c>
      <c r="D6" s="337" t="s">
        <v>65</v>
      </c>
      <c r="E6" s="336" t="s">
        <v>51</v>
      </c>
    </row>
    <row r="7" spans="1:10">
      <c r="A7" s="597"/>
      <c r="B7" s="598"/>
      <c r="C7" s="599">
        <v>20</v>
      </c>
      <c r="D7" s="599">
        <v>1E-3</v>
      </c>
      <c r="E7" s="600">
        <v>1E-3</v>
      </c>
    </row>
    <row r="8" spans="1:10">
      <c r="A8" s="520"/>
      <c r="B8" s="565"/>
      <c r="C8" s="599">
        <v>80</v>
      </c>
      <c r="D8" s="599"/>
      <c r="E8" s="601"/>
    </row>
    <row r="9" spans="1:10">
      <c r="A9" s="520"/>
      <c r="B9" s="565"/>
      <c r="C9" s="599"/>
      <c r="D9" s="599"/>
      <c r="E9" s="601"/>
    </row>
    <row r="10" spans="1:10">
      <c r="A10" s="520"/>
      <c r="B10" s="565"/>
      <c r="C10" s="599"/>
      <c r="D10" s="599"/>
      <c r="E10" s="601"/>
    </row>
    <row r="11" spans="1:10">
      <c r="A11" s="567" t="s">
        <v>0</v>
      </c>
      <c r="B11" s="568"/>
      <c r="C11" s="599"/>
      <c r="D11" s="599"/>
      <c r="E11" s="601"/>
    </row>
    <row r="12" spans="1:10">
      <c r="A12" s="567" t="s">
        <v>0</v>
      </c>
      <c r="B12" s="568"/>
      <c r="C12" s="599"/>
      <c r="D12" s="599"/>
      <c r="E12" s="601"/>
    </row>
    <row r="13" spans="1:10">
      <c r="A13" s="520" t="s">
        <v>0</v>
      </c>
      <c r="B13" s="565"/>
      <c r="C13" s="599"/>
      <c r="D13" s="599"/>
      <c r="E13" s="601"/>
    </row>
    <row r="14" spans="1:10">
      <c r="A14" s="602" t="s">
        <v>0</v>
      </c>
      <c r="B14" s="603"/>
      <c r="C14" s="599"/>
      <c r="D14" s="599"/>
      <c r="E14" s="604"/>
    </row>
    <row r="15" spans="1:10" ht="18">
      <c r="A15" s="308" t="s">
        <v>258</v>
      </c>
      <c r="B15" s="228"/>
      <c r="C15" s="278">
        <f>SUM(C7:C14)</f>
        <v>100</v>
      </c>
      <c r="D15" s="278">
        <f>SUM(D7:D14)</f>
        <v>1E-3</v>
      </c>
      <c r="E15" s="278">
        <f>SUM(E7:E14)</f>
        <v>1E-3</v>
      </c>
    </row>
    <row r="16" spans="1:10">
      <c r="A16" s="267"/>
      <c r="B16" s="267"/>
      <c r="C16" s="268"/>
      <c r="D16" s="268"/>
      <c r="E16" s="268"/>
      <c r="F16" s="290"/>
      <c r="G16" s="290"/>
      <c r="H16" s="290"/>
      <c r="I16" s="290"/>
    </row>
    <row r="17" spans="1:10" ht="18">
      <c r="A17"/>
      <c r="B17" s="267"/>
      <c r="C17" s="268"/>
      <c r="D17" s="268"/>
      <c r="E17" s="268"/>
      <c r="F17" s="338" t="s">
        <v>436</v>
      </c>
      <c r="G17" s="384"/>
      <c r="H17" s="384"/>
      <c r="I17" s="384"/>
      <c r="J17" s="460"/>
    </row>
    <row r="18" spans="1:10">
      <c r="G18" s="339" t="s">
        <v>352</v>
      </c>
    </row>
    <row r="20" spans="1:10" ht="18">
      <c r="A20" s="275" t="s">
        <v>257</v>
      </c>
      <c r="B20" s="276"/>
      <c r="C20" s="336" t="s">
        <v>49</v>
      </c>
      <c r="D20" s="337" t="s">
        <v>65</v>
      </c>
      <c r="E20" s="336" t="s">
        <v>51</v>
      </c>
      <c r="F20" s="339"/>
      <c r="G20" s="467" t="s">
        <v>435</v>
      </c>
    </row>
    <row r="21" spans="1:10">
      <c r="A21" s="597" t="s">
        <v>434</v>
      </c>
      <c r="B21" s="605">
        <v>0.48</v>
      </c>
      <c r="C21" s="101">
        <f>C7*$B$21</f>
        <v>9.6</v>
      </c>
      <c r="D21" s="101">
        <f>D7*$B$21</f>
        <v>4.8000000000000001E-4</v>
      </c>
      <c r="E21" s="101">
        <f>E7*$B$21</f>
        <v>4.8000000000000001E-4</v>
      </c>
      <c r="G21" s="309" t="s">
        <v>437</v>
      </c>
    </row>
    <row r="22" spans="1:10">
      <c r="A22" s="520" t="s">
        <v>434</v>
      </c>
      <c r="B22" s="606">
        <v>0.7</v>
      </c>
      <c r="C22" s="100">
        <f>C8*$B$22</f>
        <v>56</v>
      </c>
      <c r="D22" s="100">
        <f>D8*$B$22</f>
        <v>0</v>
      </c>
      <c r="E22" s="100">
        <f>E8*$B$22</f>
        <v>0</v>
      </c>
      <c r="G22" s="309" t="s">
        <v>438</v>
      </c>
    </row>
    <row r="23" spans="1:10">
      <c r="A23" s="520" t="s">
        <v>434</v>
      </c>
      <c r="B23" s="606">
        <v>1.0000000000000001E-5</v>
      </c>
      <c r="C23" s="100">
        <f>C9*$B$23</f>
        <v>0</v>
      </c>
      <c r="D23" s="100">
        <f>D9*$B$23</f>
        <v>0</v>
      </c>
      <c r="E23" s="100">
        <f>E9*$B$23</f>
        <v>0</v>
      </c>
      <c r="F23" s="27"/>
    </row>
    <row r="24" spans="1:10">
      <c r="A24" s="567" t="s">
        <v>434</v>
      </c>
      <c r="B24" s="606">
        <v>1.0000000000000001E-5</v>
      </c>
      <c r="C24" s="100">
        <f>C10*$B$24</f>
        <v>0</v>
      </c>
      <c r="D24" s="100">
        <f>D10*$B$24</f>
        <v>0</v>
      </c>
      <c r="E24" s="100">
        <f>E10*$B$24</f>
        <v>0</v>
      </c>
      <c r="F24" s="27"/>
      <c r="G24" s="411" t="s">
        <v>398</v>
      </c>
      <c r="H24" s="412"/>
      <c r="I24" s="412"/>
      <c r="J24" s="413"/>
    </row>
    <row r="25" spans="1:10">
      <c r="A25" s="84"/>
      <c r="B25" s="273">
        <v>0</v>
      </c>
      <c r="C25" s="97"/>
      <c r="D25" s="97"/>
      <c r="E25" s="97"/>
      <c r="F25" s="27"/>
      <c r="G25" s="414" t="s">
        <v>399</v>
      </c>
      <c r="H25" s="415"/>
      <c r="I25" s="415"/>
      <c r="J25" s="416"/>
    </row>
    <row r="26" spans="1:10">
      <c r="A26" s="84" t="s">
        <v>276</v>
      </c>
      <c r="B26" s="273">
        <v>0</v>
      </c>
      <c r="C26" s="97"/>
      <c r="D26" s="97"/>
      <c r="E26" s="97"/>
      <c r="F26" s="27"/>
      <c r="G26" s="417" t="s">
        <v>400</v>
      </c>
      <c r="H26" s="418"/>
      <c r="I26" s="418"/>
      <c r="J26" s="419"/>
    </row>
    <row r="27" spans="1:10">
      <c r="A27" s="269" t="s">
        <v>0</v>
      </c>
      <c r="B27" s="274">
        <v>0</v>
      </c>
      <c r="C27" s="270"/>
      <c r="D27" s="270"/>
      <c r="E27" s="270"/>
      <c r="F27" s="27"/>
    </row>
    <row r="28" spans="1:10" ht="18">
      <c r="A28" s="279" t="s">
        <v>259</v>
      </c>
      <c r="B28" s="280"/>
      <c r="C28" s="281">
        <f>SUM(C21:C27)</f>
        <v>65.599999999999994</v>
      </c>
      <c r="D28" s="281">
        <f>SUM(D21:D27)</f>
        <v>4.8000000000000001E-4</v>
      </c>
      <c r="E28" s="281">
        <f>SUM(E21:E27)</f>
        <v>4.8000000000000001E-4</v>
      </c>
    </row>
    <row r="31" spans="1:10" ht="18">
      <c r="A31" s="279" t="s">
        <v>260</v>
      </c>
      <c r="B31" s="280"/>
      <c r="C31" s="281">
        <f>C15-C28</f>
        <v>34.400000000000006</v>
      </c>
      <c r="D31" s="281">
        <f>D15-D28</f>
        <v>5.2000000000000006E-4</v>
      </c>
      <c r="E31" s="281">
        <f>E15-E28</f>
        <v>5.2000000000000006E-4</v>
      </c>
    </row>
    <row r="33" spans="1:5" ht="18">
      <c r="A33" s="275" t="s">
        <v>261</v>
      </c>
      <c r="B33" s="276"/>
      <c r="C33" s="277">
        <f>C31/C15</f>
        <v>0.34400000000000008</v>
      </c>
      <c r="D33" s="277">
        <f>D31/D15</f>
        <v>0.52</v>
      </c>
      <c r="E33" s="277">
        <f>E31/E15</f>
        <v>0.52</v>
      </c>
    </row>
  </sheetData>
  <phoneticPr fontId="0" type="noConversion"/>
  <pageMargins left="0.19685039370078741" right="0" top="0.39370078740157483" bottom="0.19685039370078741" header="0.11811023622047245" footer="0.11811023622047245"/>
  <pageSetup paperSize="9" orientation="portrait" horizontalDpi="4294967295"/>
  <headerFooter alignWithMargins="0">
    <oddHeader>&amp;R3,51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Feuil22" enableFormatConditionsCalculation="0">
    <tabColor indexed="20"/>
  </sheetPr>
  <dimension ref="A1:M25"/>
  <sheetViews>
    <sheetView showGridLines="0" zoomScale="75" zoomScaleNormal="75" workbookViewId="0">
      <selection activeCell="G6" sqref="G6:G11"/>
    </sheetView>
  </sheetViews>
  <sheetFormatPr baseColWidth="10" defaultRowHeight="12.75"/>
  <cols>
    <col min="1" max="1" width="43.42578125" customWidth="1"/>
    <col min="2" max="2" width="6.140625" customWidth="1"/>
    <col min="3" max="3" width="14" customWidth="1"/>
    <col min="4" max="4" width="1.42578125" customWidth="1"/>
    <col min="5" max="5" width="14" customWidth="1"/>
    <col min="6" max="6" width="1.42578125" customWidth="1"/>
    <col min="7" max="7" width="14" customWidth="1"/>
    <col min="8" max="8" width="8.140625" customWidth="1"/>
    <col min="12" max="12" width="11.85546875" customWidth="1"/>
  </cols>
  <sheetData>
    <row r="1" spans="1:13" ht="23.25" thickBot="1">
      <c r="A1" s="816" t="s">
        <v>188</v>
      </c>
      <c r="B1" s="817"/>
      <c r="C1" s="866"/>
      <c r="H1" s="7"/>
    </row>
    <row r="2" spans="1:13" ht="19.5">
      <c r="A2" s="71"/>
      <c r="B2" s="54"/>
      <c r="C2" s="386" t="s">
        <v>49</v>
      </c>
      <c r="D2" s="387"/>
      <c r="E2" s="386" t="s">
        <v>65</v>
      </c>
      <c r="F2" s="387"/>
      <c r="G2" s="386" t="s">
        <v>51</v>
      </c>
      <c r="H2" s="7"/>
    </row>
    <row r="3" spans="1:13" ht="19.5">
      <c r="A3" s="61" t="s">
        <v>187</v>
      </c>
      <c r="B3" s="71"/>
      <c r="C3" s="155">
        <f>'3.1 Détails charges fixes'!C78</f>
        <v>0</v>
      </c>
      <c r="E3" s="155">
        <f>'3.1 Détails charges fixes'!D78</f>
        <v>0</v>
      </c>
      <c r="G3" s="155">
        <f>'3.1 Détails charges fixes'!E78</f>
        <v>0</v>
      </c>
      <c r="H3" s="7"/>
    </row>
    <row r="4" spans="1:13" ht="22.5">
      <c r="A4" s="388" t="s">
        <v>108</v>
      </c>
      <c r="B4" s="71"/>
      <c r="C4" s="135"/>
      <c r="E4" s="135"/>
      <c r="G4" s="135"/>
      <c r="H4" s="7"/>
    </row>
    <row r="5" spans="1:13" ht="19.5">
      <c r="A5" s="61" t="s">
        <v>195</v>
      </c>
      <c r="B5" s="54"/>
      <c r="C5" s="155">
        <f>'3,131 int emprunts'!E9+'3,131 int emprunts'!L9+'3,131 int emprunts'!L23+'3,131 int emprunts'!E23</f>
        <v>0</v>
      </c>
      <c r="E5" s="155">
        <f>'3,131 int emprunts'!E10+'3,131 int emprunts'!L10+'3,131 int emprunts'!L24+'3,131 int emprunts'!E24</f>
        <v>0</v>
      </c>
      <c r="G5" s="155">
        <f>'3,131 int emprunts'!E11+'3,131 int emprunts'!L11+'3,131 int emprunts'!L25+'3,131 int emprunts'!E25</f>
        <v>0</v>
      </c>
      <c r="H5" s="7"/>
    </row>
    <row r="6" spans="1:13" ht="24">
      <c r="A6" s="156" t="s">
        <v>109</v>
      </c>
      <c r="B6" s="54"/>
      <c r="C6" s="135"/>
      <c r="E6" s="135"/>
      <c r="G6" s="135"/>
      <c r="H6" s="7"/>
    </row>
    <row r="7" spans="1:13" ht="19.5">
      <c r="A7" s="63" t="s">
        <v>183</v>
      </c>
      <c r="B7" s="71"/>
      <c r="C7" s="155">
        <f>C3+C5</f>
        <v>0</v>
      </c>
      <c r="E7" s="155">
        <f>E3+E5</f>
        <v>0</v>
      </c>
      <c r="G7" s="155">
        <f>G3+G5</f>
        <v>0</v>
      </c>
      <c r="H7" s="7"/>
    </row>
    <row r="8" spans="1:13" ht="19.5">
      <c r="A8" s="71"/>
      <c r="B8" s="54"/>
      <c r="C8" s="154"/>
      <c r="E8" s="154"/>
      <c r="G8" s="154"/>
      <c r="H8" s="7"/>
    </row>
    <row r="9" spans="1:13" ht="19.5">
      <c r="A9" s="61" t="s">
        <v>297</v>
      </c>
      <c r="B9" s="71"/>
      <c r="C9" s="585">
        <v>1</v>
      </c>
      <c r="E9" s="585">
        <v>1</v>
      </c>
      <c r="G9" s="585">
        <v>1</v>
      </c>
      <c r="H9" s="251"/>
      <c r="J9" s="432" t="s">
        <v>263</v>
      </c>
      <c r="K9" s="433"/>
      <c r="L9" s="433"/>
      <c r="M9" s="434"/>
    </row>
    <row r="10" spans="1:13" ht="20.25" thickBot="1">
      <c r="A10" s="71"/>
      <c r="B10" s="54"/>
      <c r="C10" s="154"/>
      <c r="E10" s="154"/>
      <c r="G10" s="154"/>
      <c r="H10" s="7"/>
    </row>
    <row r="11" spans="1:13" ht="19.5">
      <c r="A11" s="470" t="s">
        <v>137</v>
      </c>
      <c r="B11" s="54"/>
      <c r="C11" s="221">
        <f>C7/C9</f>
        <v>0</v>
      </c>
      <c r="E11" s="221">
        <f>E7/E9</f>
        <v>0</v>
      </c>
      <c r="G11" s="221">
        <f>G7/G9</f>
        <v>0</v>
      </c>
      <c r="J11" s="870" t="s">
        <v>466</v>
      </c>
      <c r="K11" s="871"/>
      <c r="L11" s="872"/>
    </row>
    <row r="12" spans="1:13" ht="15.75" customHeight="1">
      <c r="A12" s="471"/>
      <c r="B12" s="54"/>
      <c r="C12" s="68"/>
      <c r="E12" s="68"/>
      <c r="G12" s="68"/>
      <c r="H12" s="7"/>
      <c r="J12" s="452"/>
      <c r="K12" s="449"/>
      <c r="L12" s="453"/>
    </row>
    <row r="13" spans="1:13" ht="20.25" thickBot="1">
      <c r="A13" s="71"/>
      <c r="B13" s="54"/>
      <c r="C13" s="154"/>
      <c r="E13" s="154"/>
      <c r="G13" s="154"/>
      <c r="H13" s="7"/>
      <c r="J13" s="867" t="s">
        <v>504</v>
      </c>
      <c r="K13" s="868"/>
      <c r="L13" s="595">
        <v>1</v>
      </c>
    </row>
    <row r="14" spans="1:13" ht="20.25" thickBot="1">
      <c r="A14" s="341" t="s">
        <v>299</v>
      </c>
      <c r="B14" s="283"/>
      <c r="C14" s="340"/>
      <c r="E14" s="385"/>
      <c r="G14" s="385"/>
      <c r="H14" s="7"/>
      <c r="J14" s="454"/>
      <c r="K14" s="451"/>
      <c r="L14" s="453"/>
    </row>
    <row r="15" spans="1:13" ht="15.75" customHeight="1">
      <c r="A15" s="71"/>
      <c r="B15" s="54"/>
      <c r="C15" s="154"/>
      <c r="E15" s="154"/>
      <c r="G15" s="154"/>
      <c r="H15" s="7"/>
      <c r="J15" s="867" t="s">
        <v>505</v>
      </c>
      <c r="K15" s="868"/>
      <c r="L15" s="595">
        <v>0</v>
      </c>
    </row>
    <row r="16" spans="1:13" ht="18.75" customHeight="1">
      <c r="A16" s="586" t="s">
        <v>249</v>
      </c>
      <c r="B16" s="587"/>
      <c r="C16" s="607">
        <f>C11*(100%+L19)</f>
        <v>0</v>
      </c>
      <c r="D16" s="587"/>
      <c r="E16" s="588"/>
      <c r="F16" s="587"/>
      <c r="G16" s="588"/>
      <c r="I16" s="339"/>
      <c r="J16" s="867" t="s">
        <v>408</v>
      </c>
      <c r="K16" s="869"/>
      <c r="L16" s="595">
        <v>0</v>
      </c>
    </row>
    <row r="17" spans="1:13" ht="18.75" customHeight="1">
      <c r="A17" s="587"/>
      <c r="B17" s="587"/>
      <c r="C17" s="589"/>
      <c r="D17" s="587"/>
      <c r="E17" s="590"/>
      <c r="F17" s="587"/>
      <c r="G17" s="590"/>
      <c r="I17" s="339"/>
      <c r="J17" s="454" t="s">
        <v>409</v>
      </c>
      <c r="K17" s="451"/>
      <c r="L17" s="596">
        <v>0</v>
      </c>
    </row>
    <row r="18" spans="1:13" ht="18.75" customHeight="1">
      <c r="A18" s="586" t="s">
        <v>270</v>
      </c>
      <c r="B18" s="587"/>
      <c r="C18" s="591">
        <v>47</v>
      </c>
      <c r="D18" s="587"/>
      <c r="E18" s="592"/>
      <c r="F18" s="587"/>
      <c r="G18" s="592"/>
      <c r="I18" s="339"/>
      <c r="J18" s="454"/>
      <c r="K18" s="451"/>
      <c r="L18" s="453"/>
    </row>
    <row r="19" spans="1:13" ht="18.75" customHeight="1" thickBot="1">
      <c r="A19" s="526"/>
      <c r="B19" s="587"/>
      <c r="C19" s="589"/>
      <c r="D19" s="587"/>
      <c r="E19" s="590"/>
      <c r="F19" s="587"/>
      <c r="G19" s="590"/>
      <c r="I19" s="339"/>
      <c r="J19" s="455" t="s">
        <v>410</v>
      </c>
      <c r="K19" s="456"/>
      <c r="L19" s="457">
        <f>(20%*L13)+(10%*L15)+(0%*L17)+(5.5%*L16)</f>
        <v>0.2</v>
      </c>
    </row>
    <row r="20" spans="1:13" ht="18.75" customHeight="1">
      <c r="A20" s="586" t="s">
        <v>271</v>
      </c>
      <c r="B20" s="587"/>
      <c r="C20" s="591">
        <v>5</v>
      </c>
      <c r="D20" s="587"/>
      <c r="E20" s="592"/>
      <c r="F20" s="587"/>
      <c r="G20" s="592"/>
      <c r="I20" s="339"/>
    </row>
    <row r="21" spans="1:13" ht="18.75" customHeight="1">
      <c r="A21" s="593"/>
      <c r="B21" s="587"/>
      <c r="C21" s="589"/>
      <c r="D21" s="587"/>
      <c r="E21" s="590"/>
      <c r="F21" s="587"/>
      <c r="G21" s="590"/>
      <c r="I21" s="339"/>
      <c r="J21" s="426" t="s">
        <v>298</v>
      </c>
      <c r="K21" s="427"/>
      <c r="L21" s="427"/>
      <c r="M21" s="428"/>
    </row>
    <row r="22" spans="1:13" ht="18.75" customHeight="1">
      <c r="A22" s="586" t="s">
        <v>272</v>
      </c>
      <c r="B22" s="587"/>
      <c r="C22" s="591">
        <v>35</v>
      </c>
      <c r="D22" s="587"/>
      <c r="E22" s="592"/>
      <c r="F22" s="587"/>
      <c r="G22" s="592"/>
      <c r="I22" s="339"/>
      <c r="J22" s="429" t="s">
        <v>330</v>
      </c>
      <c r="K22" s="430"/>
      <c r="L22" s="430"/>
      <c r="M22" s="431"/>
    </row>
    <row r="23" spans="1:13" ht="18.75" customHeight="1">
      <c r="A23" s="587"/>
      <c r="B23" s="587"/>
      <c r="C23" s="589"/>
      <c r="D23" s="587"/>
      <c r="E23" s="590"/>
      <c r="F23" s="587"/>
      <c r="G23" s="590"/>
      <c r="I23" s="339"/>
    </row>
    <row r="24" spans="1:13" ht="18.75" customHeight="1">
      <c r="A24" s="586" t="s">
        <v>300</v>
      </c>
      <c r="B24" s="587"/>
      <c r="C24" s="594">
        <f>C16/C18/C20/C22</f>
        <v>0</v>
      </c>
      <c r="D24" s="587"/>
      <c r="E24" s="592"/>
      <c r="F24" s="587"/>
      <c r="G24" s="592"/>
      <c r="I24" s="339"/>
    </row>
    <row r="25" spans="1:13" ht="18.75" customHeight="1"/>
  </sheetData>
  <mergeCells count="5">
    <mergeCell ref="A1:C1"/>
    <mergeCell ref="J13:K13"/>
    <mergeCell ref="J15:K15"/>
    <mergeCell ref="J16:K16"/>
    <mergeCell ref="J11:L11"/>
  </mergeCells>
  <phoneticPr fontId="0" type="noConversion"/>
  <pageMargins left="0.39370078740157483" right="0.19685039370078741" top="0.98425196850393704" bottom="0.98425196850393704" header="0.51181102362204722" footer="0.51181102362204722"/>
  <pageSetup paperSize="9" orientation="portrait" horizontalDpi="4294967295"/>
  <headerFooter alignWithMargins="0">
    <oddHeader>&amp;A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Feuil23" enableFormatConditionsCalculation="0">
    <tabColor indexed="20"/>
  </sheetPr>
  <dimension ref="A1:V211"/>
  <sheetViews>
    <sheetView tabSelected="1" topLeftCell="A3" zoomScale="80" zoomScaleNormal="80" workbookViewId="0">
      <pane xSplit="2" ySplit="2" topLeftCell="D5" activePane="bottomRight" state="frozen"/>
      <selection activeCell="A3" sqref="A3"/>
      <selection pane="topRight" activeCell="C3" sqref="C3"/>
      <selection pane="bottomLeft" activeCell="A5" sqref="A5"/>
      <selection pane="bottomRight" activeCell="D12" sqref="D12:I12"/>
    </sheetView>
  </sheetViews>
  <sheetFormatPr baseColWidth="10" defaultRowHeight="15"/>
  <cols>
    <col min="1" max="1" width="37.85546875" style="28" bestFit="1" customWidth="1"/>
    <col min="2" max="2" width="11.85546875" style="28" customWidth="1"/>
    <col min="3" max="3" width="16.42578125" style="42" bestFit="1" customWidth="1"/>
    <col min="4" max="4" width="17.140625" style="764" bestFit="1" customWidth="1"/>
    <col min="5" max="8" width="16.42578125" style="764" bestFit="1" customWidth="1"/>
    <col min="9" max="14" width="17.85546875" style="764" bestFit="1" customWidth="1"/>
    <col min="15" max="15" width="17.85546875" style="751" bestFit="1" customWidth="1"/>
    <col min="16" max="16" width="11.7109375" style="28" bestFit="1" customWidth="1"/>
    <col min="17" max="16384" width="11.42578125" style="28"/>
  </cols>
  <sheetData>
    <row r="1" spans="1:16" ht="25.5" thickBot="1">
      <c r="A1" s="873" t="s">
        <v>210</v>
      </c>
      <c r="B1" s="874"/>
      <c r="C1" s="874"/>
      <c r="D1" s="874"/>
      <c r="E1" s="874"/>
      <c r="F1" s="874"/>
      <c r="G1" s="874"/>
      <c r="H1" s="874"/>
      <c r="I1" s="874"/>
      <c r="J1" s="874"/>
      <c r="K1" s="874"/>
      <c r="L1" s="874"/>
      <c r="M1" s="874"/>
      <c r="N1" s="874"/>
      <c r="O1" s="766"/>
    </row>
    <row r="2" spans="1:16" ht="19.5">
      <c r="A2" s="167"/>
      <c r="B2" s="168"/>
      <c r="C2" s="120"/>
      <c r="D2" s="750"/>
      <c r="E2" s="750"/>
      <c r="F2" s="750"/>
      <c r="G2" s="750"/>
      <c r="H2" s="750"/>
      <c r="I2" s="750"/>
      <c r="J2" s="750"/>
      <c r="K2" s="750"/>
      <c r="L2" s="750"/>
      <c r="M2" s="750"/>
      <c r="N2" s="750"/>
    </row>
    <row r="3" spans="1:16">
      <c r="A3" s="69"/>
      <c r="B3" s="69"/>
      <c r="C3" s="169"/>
      <c r="D3" s="751"/>
      <c r="E3" s="751"/>
      <c r="F3" s="751"/>
      <c r="G3" s="751"/>
      <c r="H3" s="751"/>
      <c r="I3" s="751"/>
      <c r="J3" s="751"/>
      <c r="K3" s="751"/>
      <c r="L3" s="751"/>
      <c r="M3" s="751"/>
      <c r="N3" s="751"/>
    </row>
    <row r="4" spans="1:16" s="775" customFormat="1" ht="18" customHeight="1">
      <c r="A4" s="771" t="s">
        <v>449</v>
      </c>
      <c r="B4" s="772" t="s">
        <v>0</v>
      </c>
      <c r="C4" s="773" t="s">
        <v>247</v>
      </c>
      <c r="D4" s="776">
        <v>41730</v>
      </c>
      <c r="E4" s="776">
        <v>41760</v>
      </c>
      <c r="F4" s="776">
        <v>41791</v>
      </c>
      <c r="G4" s="776">
        <v>41821</v>
      </c>
      <c r="H4" s="774" t="s">
        <v>623</v>
      </c>
      <c r="I4" s="776">
        <v>41883</v>
      </c>
      <c r="J4" s="776">
        <v>41913</v>
      </c>
      <c r="K4" s="776">
        <v>41944</v>
      </c>
      <c r="L4" s="776">
        <v>41974</v>
      </c>
      <c r="M4" s="776">
        <v>42005</v>
      </c>
      <c r="N4" s="776">
        <v>42036</v>
      </c>
      <c r="O4" s="776">
        <v>42064</v>
      </c>
    </row>
    <row r="5" spans="1:16" ht="18">
      <c r="A5" s="443" t="s">
        <v>132</v>
      </c>
      <c r="B5" s="170"/>
      <c r="C5" s="171"/>
      <c r="D5" s="752"/>
      <c r="E5" s="752"/>
      <c r="F5" s="752"/>
      <c r="G5" s="752"/>
      <c r="H5" s="752"/>
      <c r="I5" s="752"/>
      <c r="J5" s="752"/>
      <c r="K5" s="752"/>
      <c r="L5" s="752"/>
      <c r="M5" s="752"/>
      <c r="N5" s="752"/>
      <c r="O5" s="752"/>
      <c r="P5" s="28">
        <v>0</v>
      </c>
    </row>
    <row r="6" spans="1:16" ht="16.5">
      <c r="A6" s="158" t="s">
        <v>612</v>
      </c>
      <c r="B6" s="69"/>
      <c r="C6" s="753"/>
      <c r="D6" s="764">
        <v>1091.19</v>
      </c>
      <c r="E6" s="753">
        <v>3463.3</v>
      </c>
      <c r="F6" s="753">
        <v>1167.26</v>
      </c>
      <c r="G6" s="753"/>
      <c r="H6" s="753"/>
      <c r="I6" s="753"/>
      <c r="J6" s="753"/>
      <c r="K6" s="753"/>
      <c r="L6" s="753"/>
      <c r="M6" s="753"/>
      <c r="N6" s="753"/>
      <c r="O6" s="753"/>
    </row>
    <row r="7" spans="1:16" ht="16.5">
      <c r="A7" s="158" t="s">
        <v>604</v>
      </c>
      <c r="B7" s="69"/>
      <c r="C7" s="748">
        <v>6074.96</v>
      </c>
      <c r="D7" s="753"/>
      <c r="E7" s="753"/>
      <c r="F7" s="753"/>
      <c r="G7" s="753"/>
      <c r="H7" s="753"/>
      <c r="I7" s="753"/>
      <c r="J7" s="753"/>
      <c r="K7" s="753"/>
      <c r="L7" s="753"/>
      <c r="M7" s="753"/>
      <c r="N7" s="753"/>
      <c r="O7" s="753"/>
    </row>
    <row r="8" spans="1:16" ht="16.5">
      <c r="A8" s="158" t="s">
        <v>353</v>
      </c>
      <c r="B8" s="69"/>
      <c r="C8" s="172"/>
      <c r="D8" s="754"/>
      <c r="E8" s="753"/>
      <c r="F8" s="754"/>
      <c r="G8" s="753"/>
      <c r="H8" s="753"/>
      <c r="I8" s="753"/>
      <c r="J8" s="753"/>
      <c r="K8" s="753"/>
      <c r="L8" s="753"/>
      <c r="M8" s="753"/>
      <c r="N8" s="753"/>
      <c r="O8" s="753"/>
    </row>
    <row r="9" spans="1:16" ht="16.5">
      <c r="A9" s="158" t="s">
        <v>621</v>
      </c>
      <c r="B9" s="69"/>
      <c r="C9" s="765"/>
      <c r="D9" s="754">
        <v>1000</v>
      </c>
      <c r="E9" s="753"/>
      <c r="F9" s="754">
        <v>1800</v>
      </c>
      <c r="G9" s="753"/>
      <c r="H9" s="753"/>
      <c r="I9" s="893">
        <v>200</v>
      </c>
      <c r="J9" s="753"/>
      <c r="K9" s="753"/>
      <c r="L9" s="753"/>
      <c r="M9" s="753"/>
      <c r="N9" s="753"/>
      <c r="O9" s="753"/>
    </row>
    <row r="10" spans="1:16" ht="16.5">
      <c r="A10" s="158" t="s">
        <v>103</v>
      </c>
      <c r="B10" s="69"/>
      <c r="C10" s="765"/>
      <c r="D10" s="754">
        <f>3.37+23.29</f>
        <v>26.66</v>
      </c>
      <c r="E10" s="753"/>
      <c r="F10" s="754"/>
      <c r="G10" s="893">
        <f>3.08+15.79</f>
        <v>18.869999999999997</v>
      </c>
      <c r="H10" s="753"/>
      <c r="I10" s="753"/>
      <c r="J10" s="753"/>
      <c r="K10" s="753"/>
      <c r="L10" s="753"/>
      <c r="M10" s="753"/>
      <c r="N10" s="753"/>
      <c r="O10" s="753"/>
    </row>
    <row r="11" spans="1:16" ht="16.5">
      <c r="A11" s="158" t="s">
        <v>619</v>
      </c>
      <c r="B11" s="69"/>
      <c r="C11" s="765"/>
      <c r="D11" s="754"/>
      <c r="E11" s="753"/>
      <c r="F11" s="754"/>
      <c r="G11" s="753"/>
      <c r="H11" s="753"/>
      <c r="I11" s="753"/>
      <c r="J11" s="753"/>
      <c r="K11" s="753"/>
      <c r="L11" s="753"/>
      <c r="M11" s="753"/>
      <c r="N11" s="753"/>
      <c r="O11" s="753"/>
    </row>
    <row r="12" spans="1:16" ht="16.5">
      <c r="A12" s="158" t="s">
        <v>302</v>
      </c>
      <c r="B12" s="69"/>
      <c r="C12" s="343"/>
      <c r="D12" s="753">
        <v>2635.6</v>
      </c>
      <c r="E12" s="753">
        <v>1320</v>
      </c>
      <c r="F12" s="753">
        <f>1320+336</f>
        <v>1656</v>
      </c>
      <c r="G12" s="753"/>
      <c r="H12" s="893">
        <f>2640+1380</f>
        <v>4020</v>
      </c>
      <c r="I12" s="893">
        <v>240</v>
      </c>
      <c r="J12" s="753"/>
      <c r="K12" s="753"/>
      <c r="L12" s="753"/>
      <c r="M12" s="753"/>
      <c r="N12" s="753"/>
      <c r="O12" s="753"/>
    </row>
    <row r="13" spans="1:16" ht="16.5">
      <c r="A13" s="158" t="s">
        <v>403</v>
      </c>
      <c r="B13" s="69"/>
      <c r="C13" s="256"/>
      <c r="D13" s="755"/>
      <c r="E13" s="753"/>
      <c r="F13" s="753"/>
      <c r="G13" s="753"/>
      <c r="H13" s="753"/>
      <c r="I13" s="753"/>
      <c r="J13" s="753"/>
      <c r="K13" s="753"/>
      <c r="L13" s="753"/>
      <c r="M13" s="753"/>
      <c r="N13" s="753"/>
      <c r="O13" s="753"/>
    </row>
    <row r="14" spans="1:16" ht="16.5">
      <c r="A14" s="158" t="s">
        <v>404</v>
      </c>
      <c r="B14" s="69"/>
      <c r="C14" s="262"/>
      <c r="D14" s="756"/>
      <c r="E14" s="756"/>
      <c r="F14" s="754"/>
      <c r="G14" s="754"/>
      <c r="H14" s="754"/>
      <c r="I14" s="754"/>
      <c r="J14" s="754"/>
      <c r="K14" s="754"/>
      <c r="L14" s="754"/>
      <c r="M14" s="754"/>
      <c r="N14" s="754"/>
      <c r="O14" s="754"/>
    </row>
    <row r="15" spans="1:16" s="29" customFormat="1" ht="18" customHeight="1">
      <c r="A15" s="660" t="s">
        <v>133</v>
      </c>
      <c r="B15" s="232"/>
      <c r="C15" s="749">
        <f t="shared" ref="C15:O15" si="0">SUM(C5:C14)</f>
        <v>6074.96</v>
      </c>
      <c r="D15" s="749">
        <f t="shared" si="0"/>
        <v>4753.45</v>
      </c>
      <c r="E15" s="749">
        <f t="shared" si="0"/>
        <v>4783.3</v>
      </c>
      <c r="F15" s="749">
        <f t="shared" si="0"/>
        <v>4623.26</v>
      </c>
      <c r="G15" s="749">
        <f t="shared" si="0"/>
        <v>18.869999999999997</v>
      </c>
      <c r="H15" s="749">
        <f t="shared" si="0"/>
        <v>4020</v>
      </c>
      <c r="I15" s="749">
        <f t="shared" si="0"/>
        <v>440</v>
      </c>
      <c r="J15" s="749">
        <f t="shared" si="0"/>
        <v>0</v>
      </c>
      <c r="K15" s="749">
        <f t="shared" si="0"/>
        <v>0</v>
      </c>
      <c r="L15" s="749">
        <f t="shared" si="0"/>
        <v>0</v>
      </c>
      <c r="M15" s="749">
        <f t="shared" si="0"/>
        <v>0</v>
      </c>
      <c r="N15" s="749">
        <f t="shared" si="0"/>
        <v>0</v>
      </c>
      <c r="O15" s="749">
        <f t="shared" si="0"/>
        <v>0</v>
      </c>
      <c r="P15" s="779">
        <f>AVERAGE(D15:O15)</f>
        <v>1553.24</v>
      </c>
    </row>
    <row r="16" spans="1:16" s="32" customFormat="1" ht="18" customHeight="1">
      <c r="A16" s="174"/>
      <c r="B16" s="255" t="s">
        <v>324</v>
      </c>
      <c r="C16" s="175"/>
      <c r="D16" s="757"/>
      <c r="E16" s="757"/>
      <c r="F16" s="757"/>
      <c r="G16" s="757"/>
      <c r="H16" s="757"/>
      <c r="I16" s="757"/>
      <c r="J16" s="757"/>
      <c r="K16" s="757"/>
      <c r="L16" s="757"/>
      <c r="M16" s="757"/>
      <c r="N16" s="757"/>
      <c r="O16" s="757"/>
      <c r="P16" s="779" t="e">
        <f t="shared" ref="P16:P74" si="1">AVERAGE(D16:O16)</f>
        <v>#DIV/0!</v>
      </c>
    </row>
    <row r="17" spans="1:16" ht="18">
      <c r="A17" s="444" t="s">
        <v>134</v>
      </c>
      <c r="B17" s="436" t="s">
        <v>301</v>
      </c>
      <c r="C17" s="356"/>
      <c r="D17" s="758"/>
      <c r="E17" s="758"/>
      <c r="F17" s="758"/>
      <c r="G17" s="758"/>
      <c r="H17" s="758"/>
      <c r="I17" s="758"/>
      <c r="J17" s="758"/>
      <c r="K17" s="758"/>
      <c r="L17" s="758"/>
      <c r="M17" s="758"/>
      <c r="N17" s="758"/>
      <c r="O17" s="758"/>
      <c r="P17" s="779" t="e">
        <f t="shared" si="1"/>
        <v>#DIV/0!</v>
      </c>
    </row>
    <row r="18" spans="1:16" ht="16.5">
      <c r="A18" s="176" t="s">
        <v>506</v>
      </c>
      <c r="B18" s="264">
        <f>'3.0 Compte de résultat'!C11</f>
        <v>0</v>
      </c>
      <c r="C18" s="263"/>
      <c r="D18" s="759">
        <f>D15*$B$18</f>
        <v>0</v>
      </c>
      <c r="E18" s="759">
        <f t="shared" ref="E18:O18" si="2">E15*$B$18</f>
        <v>0</v>
      </c>
      <c r="F18" s="759">
        <f t="shared" si="2"/>
        <v>0</v>
      </c>
      <c r="G18" s="759">
        <f t="shared" si="2"/>
        <v>0</v>
      </c>
      <c r="H18" s="759">
        <f t="shared" si="2"/>
        <v>0</v>
      </c>
      <c r="I18" s="759">
        <f t="shared" si="2"/>
        <v>0</v>
      </c>
      <c r="J18" s="759"/>
      <c r="K18" s="759">
        <f t="shared" si="2"/>
        <v>0</v>
      </c>
      <c r="L18" s="759">
        <f t="shared" si="2"/>
        <v>0</v>
      </c>
      <c r="M18" s="759">
        <f t="shared" si="2"/>
        <v>0</v>
      </c>
      <c r="N18" s="759">
        <f t="shared" si="2"/>
        <v>0</v>
      </c>
      <c r="O18" s="759">
        <f t="shared" si="2"/>
        <v>0</v>
      </c>
      <c r="P18" s="779">
        <f t="shared" si="1"/>
        <v>0</v>
      </c>
    </row>
    <row r="19" spans="1:16" ht="16.5">
      <c r="A19" s="179" t="s">
        <v>196</v>
      </c>
      <c r="B19" s="265">
        <f>'3.1 Détails charges fixes'!C5*1.055</f>
        <v>0</v>
      </c>
      <c r="C19" s="760"/>
      <c r="D19" s="760"/>
      <c r="E19" s="760"/>
      <c r="F19" s="760"/>
      <c r="G19" s="760"/>
      <c r="H19" s="760"/>
      <c r="I19" s="760"/>
      <c r="J19" s="760"/>
      <c r="K19" s="760"/>
      <c r="L19" s="760"/>
      <c r="M19" s="760"/>
      <c r="N19" s="760"/>
      <c r="O19" s="760"/>
      <c r="P19" s="779" t="e">
        <f t="shared" si="1"/>
        <v>#DIV/0!</v>
      </c>
    </row>
    <row r="20" spans="1:16" ht="16.5">
      <c r="A20" s="179" t="s">
        <v>441</v>
      </c>
      <c r="B20" s="265">
        <f>'3.1 Détails charges fixes'!C6</f>
        <v>0</v>
      </c>
      <c r="C20" s="760"/>
      <c r="D20" s="760"/>
      <c r="E20" s="760"/>
      <c r="F20" s="760"/>
      <c r="G20" s="760"/>
      <c r="H20" s="760"/>
      <c r="I20" s="760"/>
      <c r="J20" s="760"/>
      <c r="K20" s="760"/>
      <c r="L20" s="760"/>
      <c r="M20" s="760"/>
      <c r="N20" s="760"/>
      <c r="O20" s="760"/>
      <c r="P20" s="779" t="e">
        <f t="shared" si="1"/>
        <v>#DIV/0!</v>
      </c>
    </row>
    <row r="21" spans="1:16" ht="16.5">
      <c r="A21" s="179" t="s">
        <v>442</v>
      </c>
      <c r="B21" s="265">
        <f>'3.1 Détails charges fixes'!C7*1.2</f>
        <v>0</v>
      </c>
      <c r="C21" s="760"/>
      <c r="D21" s="760"/>
      <c r="E21" s="760"/>
      <c r="F21" s="760"/>
      <c r="G21" s="760"/>
      <c r="H21" s="760"/>
      <c r="I21" s="760"/>
      <c r="J21" s="760"/>
      <c r="K21" s="760"/>
      <c r="L21" s="760"/>
      <c r="M21" s="760"/>
      <c r="N21" s="760"/>
      <c r="O21" s="760"/>
      <c r="P21" s="779" t="e">
        <f t="shared" si="1"/>
        <v>#DIV/0!</v>
      </c>
    </row>
    <row r="22" spans="1:16" ht="16.5">
      <c r="A22" s="179" t="s">
        <v>197</v>
      </c>
      <c r="B22" s="265">
        <f>'3.1 Détails charges fixes'!C8*1.2</f>
        <v>0</v>
      </c>
      <c r="C22" s="760"/>
      <c r="D22" s="760"/>
      <c r="E22" s="760"/>
      <c r="F22" s="760"/>
      <c r="G22" s="760"/>
      <c r="H22" s="760"/>
      <c r="I22" s="760"/>
      <c r="J22" s="760"/>
      <c r="K22" s="760"/>
      <c r="L22" s="760"/>
      <c r="M22" s="760"/>
      <c r="N22" s="760"/>
      <c r="O22" s="760"/>
      <c r="P22" s="779" t="e">
        <f t="shared" si="1"/>
        <v>#DIV/0!</v>
      </c>
    </row>
    <row r="23" spans="1:16" ht="16.5">
      <c r="A23" s="179" t="s">
        <v>617</v>
      </c>
      <c r="B23" s="265">
        <f>'3.1 Détails charges fixes'!C9*1.2</f>
        <v>0</v>
      </c>
      <c r="C23" s="760"/>
      <c r="D23" s="760"/>
      <c r="E23" s="760"/>
      <c r="F23" s="760"/>
      <c r="G23" s="760"/>
      <c r="H23" s="760"/>
      <c r="I23" s="760"/>
      <c r="J23" s="760"/>
      <c r="K23" s="760"/>
      <c r="L23" s="760"/>
      <c r="M23" s="760"/>
      <c r="N23" s="760"/>
      <c r="O23" s="760"/>
      <c r="P23" s="779" t="e">
        <f t="shared" si="1"/>
        <v>#DIV/0!</v>
      </c>
    </row>
    <row r="24" spans="1:16" ht="16.5">
      <c r="A24" s="179" t="s">
        <v>198</v>
      </c>
      <c r="B24" s="265">
        <f>'3.1 Détails charges fixes'!C10*1.2</f>
        <v>0</v>
      </c>
      <c r="C24" s="760"/>
      <c r="D24" s="760"/>
      <c r="E24" s="760"/>
      <c r="F24" s="760"/>
      <c r="G24" s="760"/>
      <c r="H24" s="760"/>
      <c r="I24" s="760"/>
      <c r="J24" s="760"/>
      <c r="K24" s="760"/>
      <c r="L24" s="760"/>
      <c r="M24" s="760"/>
      <c r="N24" s="760"/>
      <c r="O24" s="760"/>
      <c r="P24" s="779" t="e">
        <f t="shared" si="1"/>
        <v>#DIV/0!</v>
      </c>
    </row>
    <row r="25" spans="1:16" ht="16.5">
      <c r="A25" s="84" t="str">
        <f>'3.1 Détails charges fixes'!A11</f>
        <v xml:space="preserve">           .</v>
      </c>
      <c r="B25" s="265">
        <f>'3.1 Détails charges fixes'!C11*1.2</f>
        <v>0</v>
      </c>
      <c r="C25" s="760"/>
      <c r="D25" s="760"/>
      <c r="E25" s="760"/>
      <c r="F25" s="760"/>
      <c r="G25" s="760"/>
      <c r="H25" s="760"/>
      <c r="I25" s="760"/>
      <c r="J25" s="760"/>
      <c r="K25" s="760"/>
      <c r="L25" s="760"/>
      <c r="M25" s="760"/>
      <c r="N25" s="760"/>
      <c r="O25" s="760"/>
      <c r="P25" s="779" t="e">
        <f t="shared" si="1"/>
        <v>#DIV/0!</v>
      </c>
    </row>
    <row r="26" spans="1:16" ht="16.5">
      <c r="A26" s="179" t="s">
        <v>444</v>
      </c>
      <c r="B26" s="265">
        <f>'3.1 Détails charges fixes'!C14*1.2</f>
        <v>0</v>
      </c>
      <c r="C26" s="760"/>
      <c r="D26" s="760"/>
      <c r="E26" s="760"/>
      <c r="F26" s="760"/>
      <c r="G26" s="760"/>
      <c r="H26" s="760"/>
      <c r="I26" s="760"/>
      <c r="J26" s="760"/>
      <c r="K26" s="760"/>
      <c r="L26" s="760"/>
      <c r="M26" s="760"/>
      <c r="N26" s="760"/>
      <c r="O26" s="760"/>
      <c r="P26" s="779" t="e">
        <f t="shared" si="1"/>
        <v>#DIV/0!</v>
      </c>
    </row>
    <row r="27" spans="1:16" ht="16.5">
      <c r="A27" s="179" t="s">
        <v>445</v>
      </c>
      <c r="B27" s="265">
        <f>'3.1 Détails charges fixes'!C15*1.2</f>
        <v>0</v>
      </c>
      <c r="C27" s="760"/>
      <c r="D27" s="760"/>
      <c r="E27" s="760"/>
      <c r="F27" s="760"/>
      <c r="G27" s="760"/>
      <c r="H27" s="760"/>
      <c r="I27" s="760"/>
      <c r="J27" s="760"/>
      <c r="K27" s="760"/>
      <c r="L27" s="760"/>
      <c r="M27" s="760"/>
      <c r="N27" s="760"/>
      <c r="O27" s="760"/>
      <c r="P27" s="779" t="e">
        <f t="shared" si="1"/>
        <v>#DIV/0!</v>
      </c>
    </row>
    <row r="28" spans="1:16" ht="16.5">
      <c r="A28" s="179" t="s">
        <v>609</v>
      </c>
      <c r="B28" s="265">
        <f>'3.1 Détails charges fixes'!C163</f>
        <v>0</v>
      </c>
      <c r="C28" s="760"/>
      <c r="D28" s="760"/>
      <c r="E28" s="760">
        <v>757.92</v>
      </c>
      <c r="F28" s="760"/>
      <c r="G28" s="892">
        <v>378.96</v>
      </c>
      <c r="H28" s="892">
        <v>757.92</v>
      </c>
      <c r="I28" s="760"/>
      <c r="J28" s="760"/>
      <c r="K28" s="760"/>
      <c r="L28" s="760"/>
      <c r="M28" s="760"/>
      <c r="N28" s="760"/>
      <c r="O28" s="760"/>
      <c r="P28" s="779">
        <f t="shared" si="1"/>
        <v>631.59999999999991</v>
      </c>
    </row>
    <row r="29" spans="1:16" ht="16.5">
      <c r="A29" s="179" t="s">
        <v>608</v>
      </c>
      <c r="B29" s="265"/>
      <c r="C29" s="760"/>
      <c r="D29" s="760"/>
      <c r="E29" s="760"/>
      <c r="F29" s="760"/>
      <c r="G29" s="760"/>
      <c r="H29" s="760"/>
      <c r="I29" s="760"/>
      <c r="J29" s="760"/>
      <c r="K29" s="760"/>
      <c r="L29" s="760"/>
      <c r="M29" s="778"/>
      <c r="N29" s="760"/>
      <c r="O29" s="760"/>
      <c r="P29" s="779" t="e">
        <f t="shared" si="1"/>
        <v>#DIV/0!</v>
      </c>
    </row>
    <row r="30" spans="1:16" ht="16.5">
      <c r="A30" s="179" t="s">
        <v>618</v>
      </c>
      <c r="B30" s="265"/>
      <c r="C30" s="760"/>
      <c r="D30" s="760"/>
      <c r="E30" s="760"/>
      <c r="F30" s="760"/>
      <c r="G30" s="760"/>
      <c r="H30" s="760"/>
      <c r="I30" s="760"/>
      <c r="J30" s="760"/>
      <c r="K30" s="760"/>
      <c r="L30" s="760"/>
      <c r="M30" s="760"/>
      <c r="N30" s="760"/>
      <c r="O30" s="760"/>
      <c r="P30" s="779" t="e">
        <f t="shared" si="1"/>
        <v>#DIV/0!</v>
      </c>
    </row>
    <row r="31" spans="1:16" ht="16.5">
      <c r="A31" s="179" t="s">
        <v>622</v>
      </c>
      <c r="B31" s="265">
        <f>'3.1 Détails charges fixes'!C17*1.2</f>
        <v>0</v>
      </c>
      <c r="C31" s="760">
        <v>6.59</v>
      </c>
      <c r="D31" s="760"/>
      <c r="E31" s="760"/>
      <c r="F31" s="760"/>
      <c r="G31" s="760"/>
      <c r="H31" s="760"/>
      <c r="I31" s="892">
        <f>6.59*2</f>
        <v>13.18</v>
      </c>
      <c r="J31" s="760"/>
      <c r="K31" s="760"/>
      <c r="L31" s="760"/>
      <c r="M31" s="760"/>
      <c r="N31" s="760"/>
      <c r="O31" s="760"/>
      <c r="P31" s="779">
        <f t="shared" si="1"/>
        <v>13.18</v>
      </c>
    </row>
    <row r="32" spans="1:16" ht="16.5">
      <c r="A32" s="179" t="s">
        <v>446</v>
      </c>
      <c r="B32" s="265">
        <f>'3.1 Détails charges fixes'!C18*1.2</f>
        <v>0</v>
      </c>
      <c r="C32" s="760"/>
      <c r="D32" s="760"/>
      <c r="E32" s="760"/>
      <c r="F32" s="760"/>
      <c r="G32" s="760"/>
      <c r="H32" s="760"/>
      <c r="I32" s="760"/>
      <c r="J32" s="760"/>
      <c r="K32" s="760"/>
      <c r="L32" s="760"/>
      <c r="M32" s="760"/>
      <c r="N32" s="760"/>
      <c r="O32" s="760"/>
      <c r="P32" s="779" t="e">
        <f t="shared" si="1"/>
        <v>#DIV/0!</v>
      </c>
    </row>
    <row r="33" spans="1:16" ht="16.5">
      <c r="A33" s="179" t="s">
        <v>447</v>
      </c>
      <c r="B33" s="265">
        <f>'3.1 Détails charges fixes'!C19*1.2</f>
        <v>0</v>
      </c>
      <c r="C33" s="760"/>
      <c r="D33" s="760"/>
      <c r="E33" s="760"/>
      <c r="F33" s="760"/>
      <c r="G33" s="760"/>
      <c r="H33" s="760"/>
      <c r="I33" s="760"/>
      <c r="J33" s="760"/>
      <c r="K33" s="760"/>
      <c r="L33" s="760"/>
      <c r="M33" s="760"/>
      <c r="N33" s="760"/>
      <c r="O33" s="760"/>
      <c r="P33" s="779" t="e">
        <f t="shared" si="1"/>
        <v>#DIV/0!</v>
      </c>
    </row>
    <row r="34" spans="1:16" ht="16.5">
      <c r="A34" s="179" t="s">
        <v>199</v>
      </c>
      <c r="B34" s="265">
        <f>'3.1 Détails charges fixes'!C20</f>
        <v>0</v>
      </c>
      <c r="C34" s="760"/>
      <c r="D34" s="760"/>
      <c r="E34" s="760"/>
      <c r="F34" s="760"/>
      <c r="G34" s="760"/>
      <c r="H34" s="760"/>
      <c r="I34" s="760"/>
      <c r="J34" s="760"/>
      <c r="K34" s="760"/>
      <c r="L34" s="760"/>
      <c r="M34" s="760"/>
      <c r="N34" s="760"/>
      <c r="O34" s="760"/>
      <c r="P34" s="779" t="e">
        <f t="shared" si="1"/>
        <v>#DIV/0!</v>
      </c>
    </row>
    <row r="35" spans="1:16" ht="16.5">
      <c r="A35" s="179" t="s">
        <v>613</v>
      </c>
      <c r="B35" s="265"/>
      <c r="C35" s="760"/>
      <c r="D35" s="760"/>
      <c r="E35" s="760"/>
      <c r="F35" s="760"/>
      <c r="G35" s="760"/>
      <c r="H35" s="760"/>
      <c r="I35" s="760"/>
      <c r="J35" s="760"/>
      <c r="K35" s="760"/>
      <c r="L35" s="760"/>
      <c r="M35" s="760"/>
      <c r="N35" s="760"/>
      <c r="O35" s="760"/>
      <c r="P35" s="779" t="e">
        <f t="shared" si="1"/>
        <v>#DIV/0!</v>
      </c>
    </row>
    <row r="36" spans="1:16" ht="16.5">
      <c r="A36" s="179" t="s">
        <v>200</v>
      </c>
      <c r="B36" s="265">
        <f>'3.1 Détails charges fixes'!C21*1.2</f>
        <v>0</v>
      </c>
      <c r="C36" s="760"/>
      <c r="D36" s="760"/>
      <c r="E36" s="760"/>
      <c r="F36" s="760"/>
      <c r="G36" s="760"/>
      <c r="H36" s="760"/>
      <c r="I36" s="760"/>
      <c r="J36" s="760"/>
      <c r="K36" s="760"/>
      <c r="L36" s="760"/>
      <c r="M36" s="760"/>
      <c r="N36" s="760"/>
      <c r="O36" s="760"/>
      <c r="P36" s="779" t="e">
        <f t="shared" si="1"/>
        <v>#DIV/0!</v>
      </c>
    </row>
    <row r="37" spans="1:16" ht="16.5">
      <c r="A37" s="179" t="s">
        <v>443</v>
      </c>
      <c r="B37" s="265">
        <f>'3.1 Détails charges fixes'!C22</f>
        <v>0</v>
      </c>
      <c r="C37" s="760"/>
      <c r="D37" s="760"/>
      <c r="E37" s="760"/>
      <c r="F37" s="760"/>
      <c r="G37" s="760"/>
      <c r="H37" s="760"/>
      <c r="I37" s="760"/>
      <c r="J37" s="760"/>
      <c r="K37" s="760"/>
      <c r="L37" s="760"/>
      <c r="M37" s="760"/>
      <c r="N37" s="760"/>
      <c r="O37" s="760"/>
      <c r="P37" s="779" t="e">
        <f t="shared" si="1"/>
        <v>#DIV/0!</v>
      </c>
    </row>
    <row r="38" spans="1:16" ht="16.5">
      <c r="A38" s="179" t="str">
        <f>'3.1 Détails charges fixes'!A23</f>
        <v xml:space="preserve">           .</v>
      </c>
      <c r="B38" s="265">
        <f>'3.1 Détails charges fixes'!C23*1.2</f>
        <v>0</v>
      </c>
      <c r="C38" s="760"/>
      <c r="D38" s="760"/>
      <c r="E38" s="760"/>
      <c r="F38" s="760"/>
      <c r="G38" s="760"/>
      <c r="H38" s="760"/>
      <c r="I38" s="760"/>
      <c r="J38" s="760"/>
      <c r="K38" s="760"/>
      <c r="L38" s="760"/>
      <c r="M38" s="760"/>
      <c r="N38" s="760"/>
      <c r="O38" s="760"/>
      <c r="P38" s="779" t="e">
        <f t="shared" si="1"/>
        <v>#DIV/0!</v>
      </c>
    </row>
    <row r="39" spans="1:16" ht="16.5">
      <c r="A39" s="179" t="s">
        <v>201</v>
      </c>
      <c r="B39" s="265">
        <f>'3.1 Détails charges fixes'!C26*1.2</f>
        <v>0</v>
      </c>
      <c r="C39" s="760"/>
      <c r="D39" s="760"/>
      <c r="E39" s="760"/>
      <c r="F39" s="760"/>
      <c r="G39" s="760"/>
      <c r="H39" s="760"/>
      <c r="I39" s="760"/>
      <c r="J39" s="760"/>
      <c r="K39" s="760"/>
      <c r="L39" s="760"/>
      <c r="M39" s="760"/>
      <c r="N39" s="760"/>
      <c r="O39" s="760"/>
      <c r="P39" s="779" t="e">
        <f t="shared" si="1"/>
        <v>#DIV/0!</v>
      </c>
    </row>
    <row r="40" spans="1:16" ht="16.5">
      <c r="A40" s="179" t="s">
        <v>202</v>
      </c>
      <c r="B40" s="265">
        <f>+'3.1 Détails charges fixes'!C27*1.2</f>
        <v>0</v>
      </c>
      <c r="C40" s="760"/>
      <c r="D40" s="760"/>
      <c r="E40" s="760">
        <v>437.06</v>
      </c>
      <c r="F40" s="892">
        <v>561.05999999999995</v>
      </c>
      <c r="G40" s="760"/>
      <c r="H40" s="892">
        <v>160</v>
      </c>
      <c r="I40" s="892">
        <f>160*2</f>
        <v>320</v>
      </c>
      <c r="J40" s="760"/>
      <c r="K40" s="760"/>
      <c r="L40" s="760"/>
      <c r="M40" s="760"/>
      <c r="N40" s="760"/>
      <c r="O40" s="760"/>
      <c r="P40" s="779">
        <f t="shared" si="1"/>
        <v>369.53</v>
      </c>
    </row>
    <row r="41" spans="1:16" ht="16.5">
      <c r="A41" s="179" t="s">
        <v>203</v>
      </c>
      <c r="B41" s="265">
        <f>'3.1 Détails charges fixes'!C28*1.2</f>
        <v>0</v>
      </c>
      <c r="C41" s="760"/>
      <c r="D41" s="760"/>
      <c r="E41" s="760"/>
      <c r="F41" s="760"/>
      <c r="G41" s="760"/>
      <c r="H41" s="760"/>
      <c r="I41" s="760"/>
      <c r="J41" s="760"/>
      <c r="K41" s="760"/>
      <c r="L41" s="760"/>
      <c r="M41" s="760"/>
      <c r="N41" s="760"/>
      <c r="O41" s="760"/>
      <c r="P41" s="779" t="e">
        <f t="shared" si="1"/>
        <v>#DIV/0!</v>
      </c>
    </row>
    <row r="42" spans="1:16" ht="16.5">
      <c r="A42" s="179" t="s">
        <v>232</v>
      </c>
      <c r="B42" s="265">
        <f>'3.1 Détails charges fixes'!C38*1.2</f>
        <v>0</v>
      </c>
      <c r="C42" s="760"/>
      <c r="D42" s="760"/>
      <c r="E42" s="760"/>
      <c r="F42" s="760"/>
      <c r="G42" s="760"/>
      <c r="H42" s="760"/>
      <c r="I42" s="760"/>
      <c r="J42" s="760"/>
      <c r="K42" s="760"/>
      <c r="L42" s="760"/>
      <c r="M42" s="760"/>
      <c r="N42" s="760"/>
      <c r="O42" s="760"/>
      <c r="P42" s="779" t="e">
        <f t="shared" si="1"/>
        <v>#DIV/0!</v>
      </c>
    </row>
    <row r="43" spans="1:16" ht="16.5">
      <c r="A43" s="179" t="s">
        <v>615</v>
      </c>
      <c r="B43" s="265"/>
      <c r="C43" s="760"/>
      <c r="D43" s="760"/>
      <c r="E43" s="760"/>
      <c r="F43" s="760"/>
      <c r="G43" s="760"/>
      <c r="H43" s="760"/>
      <c r="I43" s="760"/>
      <c r="J43" s="760"/>
      <c r="K43" s="760"/>
      <c r="L43" s="760"/>
      <c r="M43" s="760"/>
      <c r="N43" s="760"/>
      <c r="O43" s="760"/>
      <c r="P43" s="779" t="e">
        <f t="shared" si="1"/>
        <v>#DIV/0!</v>
      </c>
    </row>
    <row r="44" spans="1:16" ht="16.5">
      <c r="A44" s="179" t="s">
        <v>204</v>
      </c>
      <c r="B44" s="265">
        <f>'3.1 Détails charges fixes'!C30</f>
        <v>0</v>
      </c>
      <c r="C44" s="760"/>
      <c r="D44" s="760">
        <f>8.3+6.4</f>
        <v>14.700000000000001</v>
      </c>
      <c r="E44" s="760">
        <v>5.5</v>
      </c>
      <c r="F44" s="892">
        <v>8.25</v>
      </c>
      <c r="G44" s="760"/>
      <c r="H44" s="760"/>
      <c r="I44" s="892">
        <f>7+0.8</f>
        <v>7.8</v>
      </c>
      <c r="J44" s="760"/>
      <c r="K44" s="760"/>
      <c r="L44" s="760"/>
      <c r="M44" s="760"/>
      <c r="N44" s="760"/>
      <c r="O44" s="760"/>
      <c r="P44" s="779">
        <f t="shared" si="1"/>
        <v>9.0625</v>
      </c>
    </row>
    <row r="45" spans="1:16" ht="16.5">
      <c r="A45" s="179" t="s">
        <v>601</v>
      </c>
      <c r="B45" s="265"/>
      <c r="C45" s="760"/>
      <c r="D45" s="760"/>
      <c r="E45" s="760">
        <v>33</v>
      </c>
      <c r="F45" s="760"/>
      <c r="G45" s="760"/>
      <c r="H45" s="892">
        <f>16.1+4.5</f>
        <v>20.6</v>
      </c>
      <c r="I45" s="892">
        <f>18.8+22</f>
        <v>40.799999999999997</v>
      </c>
      <c r="J45" s="760"/>
      <c r="K45" s="760"/>
      <c r="L45" s="760"/>
      <c r="M45" s="760"/>
      <c r="N45" s="760"/>
      <c r="O45" s="760"/>
      <c r="P45" s="779">
        <f t="shared" si="1"/>
        <v>31.466666666666669</v>
      </c>
    </row>
    <row r="46" spans="1:16" ht="16.5">
      <c r="A46" s="179" t="s">
        <v>205</v>
      </c>
      <c r="B46" s="265">
        <f>'3.1 Détails charges fixes'!C31</f>
        <v>0</v>
      </c>
      <c r="C46" s="760"/>
      <c r="D46" s="760"/>
      <c r="E46" s="760"/>
      <c r="F46" s="760"/>
      <c r="G46" s="760"/>
      <c r="H46" s="760"/>
      <c r="I46" s="760"/>
      <c r="J46" s="760"/>
      <c r="K46" s="760"/>
      <c r="L46" s="760"/>
      <c r="M46" s="760"/>
      <c r="N46" s="760"/>
      <c r="O46" s="760"/>
      <c r="P46" s="779" t="e">
        <f t="shared" si="1"/>
        <v>#DIV/0!</v>
      </c>
    </row>
    <row r="47" spans="1:16" ht="16.5">
      <c r="A47" s="179" t="s">
        <v>614</v>
      </c>
      <c r="B47" s="265"/>
      <c r="C47" s="760"/>
      <c r="D47" s="760"/>
      <c r="E47" s="760"/>
      <c r="F47" s="760"/>
      <c r="G47" s="760"/>
      <c r="H47" s="760"/>
      <c r="I47" s="760"/>
      <c r="J47" s="760"/>
      <c r="K47" s="760"/>
      <c r="L47" s="760"/>
      <c r="M47" s="760"/>
      <c r="N47" s="760"/>
      <c r="O47" s="760"/>
      <c r="P47" s="779" t="e">
        <f t="shared" si="1"/>
        <v>#DIV/0!</v>
      </c>
    </row>
    <row r="48" spans="1:16" ht="16.5">
      <c r="A48" s="179" t="s">
        <v>206</v>
      </c>
      <c r="B48" s="265">
        <f>'3.1 Détails charges fixes'!C32</f>
        <v>0</v>
      </c>
      <c r="C48" s="760"/>
      <c r="D48" s="760"/>
      <c r="E48" s="760"/>
      <c r="F48" s="760"/>
      <c r="G48" s="760"/>
      <c r="H48" s="892">
        <v>15.24</v>
      </c>
      <c r="I48" s="760"/>
      <c r="J48" s="760"/>
      <c r="K48" s="760"/>
      <c r="L48" s="760"/>
      <c r="M48" s="760"/>
      <c r="N48" s="760"/>
      <c r="O48" s="760"/>
      <c r="P48" s="779">
        <f t="shared" si="1"/>
        <v>15.24</v>
      </c>
    </row>
    <row r="49" spans="1:22" ht="16.5">
      <c r="A49" s="179" t="s">
        <v>207</v>
      </c>
      <c r="B49" s="265">
        <f>'3.1 Détails charges fixes'!C33*1.2</f>
        <v>0</v>
      </c>
      <c r="C49" s="760"/>
      <c r="D49" s="760">
        <v>37.97</v>
      </c>
      <c r="E49" s="760">
        <v>37.97</v>
      </c>
      <c r="F49" s="892">
        <v>37.97</v>
      </c>
      <c r="G49" s="892">
        <v>38.25</v>
      </c>
      <c r="H49" s="892">
        <v>37.97</v>
      </c>
      <c r="I49" s="892">
        <v>37.97</v>
      </c>
      <c r="J49" s="760">
        <v>37.97</v>
      </c>
      <c r="K49" s="760">
        <v>37.97</v>
      </c>
      <c r="L49" s="760">
        <v>37.97</v>
      </c>
      <c r="M49" s="760">
        <v>37.97</v>
      </c>
      <c r="N49" s="760">
        <v>37.97</v>
      </c>
      <c r="O49" s="760">
        <v>37.97</v>
      </c>
      <c r="P49" s="779">
        <f t="shared" si="1"/>
        <v>37.993333333333339</v>
      </c>
    </row>
    <row r="50" spans="1:22" ht="16.5">
      <c r="A50" s="179" t="s">
        <v>603</v>
      </c>
      <c r="B50" s="265">
        <f>'3.1 Détails charges fixes'!C34*1.2</f>
        <v>0</v>
      </c>
      <c r="C50" s="760"/>
      <c r="D50" s="760"/>
      <c r="E50" s="760"/>
      <c r="F50" s="760"/>
      <c r="G50" s="760"/>
      <c r="H50" s="760"/>
      <c r="I50" s="760"/>
      <c r="J50" s="760"/>
      <c r="K50" s="760"/>
      <c r="L50" s="760"/>
      <c r="M50" s="760"/>
      <c r="N50" s="760"/>
      <c r="O50" s="760"/>
      <c r="P50" s="779" t="e">
        <f t="shared" si="1"/>
        <v>#DIV/0!</v>
      </c>
      <c r="V50" s="28" t="s">
        <v>577</v>
      </c>
    </row>
    <row r="51" spans="1:22" ht="16.5">
      <c r="A51" s="179" t="s">
        <v>208</v>
      </c>
      <c r="B51" s="265">
        <f>'3.1 Détails charges fixes'!C35*1.2</f>
        <v>0</v>
      </c>
      <c r="C51" s="760"/>
      <c r="D51" s="760">
        <f>5.01+20.8</f>
        <v>25.810000000000002</v>
      </c>
      <c r="E51" s="760">
        <v>20.8</v>
      </c>
      <c r="F51" s="892">
        <v>21.15</v>
      </c>
      <c r="G51" s="892">
        <f>21.15+4.22</f>
        <v>25.369999999999997</v>
      </c>
      <c r="H51" s="892">
        <v>21.15</v>
      </c>
      <c r="I51" s="892">
        <v>21.15</v>
      </c>
      <c r="J51" s="760">
        <v>20.8</v>
      </c>
      <c r="K51" s="760">
        <v>20.8</v>
      </c>
      <c r="L51" s="760">
        <v>20.8</v>
      </c>
      <c r="M51" s="760">
        <v>20.8</v>
      </c>
      <c r="N51" s="760">
        <v>20.8</v>
      </c>
      <c r="O51" s="760">
        <v>20.8</v>
      </c>
      <c r="P51" s="779">
        <f t="shared" si="1"/>
        <v>21.685833333333338</v>
      </c>
    </row>
    <row r="52" spans="1:22" ht="16.5">
      <c r="A52" s="179" t="s">
        <v>233</v>
      </c>
      <c r="B52" s="265">
        <f>'3.1 Détails charges fixes'!C36</f>
        <v>0</v>
      </c>
      <c r="C52" s="760"/>
      <c r="D52" s="760"/>
      <c r="E52" s="760"/>
      <c r="F52" s="760"/>
      <c r="G52" s="760"/>
      <c r="H52" s="760"/>
      <c r="I52" s="760"/>
      <c r="J52" s="760"/>
      <c r="K52" s="760"/>
      <c r="L52" s="760"/>
      <c r="M52" s="760"/>
      <c r="N52" s="760"/>
      <c r="O52" s="760"/>
      <c r="P52" s="779" t="e">
        <f t="shared" si="1"/>
        <v>#DIV/0!</v>
      </c>
    </row>
    <row r="53" spans="1:22" ht="16.5">
      <c r="A53" s="179" t="s">
        <v>209</v>
      </c>
      <c r="B53" s="265">
        <f>'3.1 Détails charges fixes'!C37</f>
        <v>0</v>
      </c>
      <c r="C53" s="760"/>
      <c r="D53" s="760"/>
      <c r="E53" s="760"/>
      <c r="F53" s="760"/>
      <c r="G53" s="760"/>
      <c r="H53" s="760"/>
      <c r="I53" s="760"/>
      <c r="J53" s="760"/>
      <c r="K53" s="760"/>
      <c r="L53" s="760"/>
      <c r="M53" s="760"/>
      <c r="N53" s="760"/>
      <c r="O53" s="760"/>
      <c r="P53" s="779" t="e">
        <f t="shared" si="1"/>
        <v>#DIV/0!</v>
      </c>
    </row>
    <row r="54" spans="1:22" ht="16.5">
      <c r="A54" s="179"/>
      <c r="B54" s="265"/>
      <c r="C54" s="760"/>
      <c r="D54" s="760"/>
      <c r="E54" s="760"/>
      <c r="F54" s="760"/>
      <c r="G54" s="760"/>
      <c r="H54" s="760"/>
      <c r="I54" s="760"/>
      <c r="J54" s="760"/>
      <c r="K54" s="760"/>
      <c r="L54" s="760"/>
      <c r="M54" s="760"/>
      <c r="N54" s="760"/>
      <c r="O54" s="760"/>
      <c r="P54" s="779" t="e">
        <f t="shared" si="1"/>
        <v>#DIV/0!</v>
      </c>
    </row>
    <row r="55" spans="1:22" ht="16.5">
      <c r="A55" s="777" t="s">
        <v>616</v>
      </c>
      <c r="B55" s="265"/>
      <c r="C55" s="760"/>
      <c r="D55" s="760"/>
      <c r="E55" s="760"/>
      <c r="F55" s="760"/>
      <c r="G55" s="760"/>
      <c r="H55" s="760"/>
      <c r="I55" s="760"/>
      <c r="J55" s="760"/>
      <c r="K55" s="760"/>
      <c r="L55" s="760"/>
      <c r="M55" s="760"/>
      <c r="N55" s="760"/>
      <c r="O55" s="760"/>
      <c r="P55" s="779" t="e">
        <f t="shared" si="1"/>
        <v>#DIV/0!</v>
      </c>
    </row>
    <row r="56" spans="1:22" ht="16.5">
      <c r="A56" s="179" t="str">
        <f>'3.1 Détails charges fixes'!A38</f>
        <v xml:space="preserve">           . </v>
      </c>
      <c r="B56" s="265">
        <f>'3.1 Détails charges fixes'!C38*1.2</f>
        <v>0</v>
      </c>
      <c r="C56" s="760"/>
      <c r="D56" s="760"/>
      <c r="E56" s="760"/>
      <c r="F56" s="760"/>
      <c r="G56" s="760"/>
      <c r="H56" s="760"/>
      <c r="I56" s="760"/>
      <c r="J56" s="760"/>
      <c r="K56" s="760"/>
      <c r="L56" s="760"/>
      <c r="M56" s="760"/>
      <c r="N56" s="760"/>
      <c r="O56" s="760"/>
      <c r="P56" s="779" t="e">
        <f t="shared" si="1"/>
        <v>#DIV/0!</v>
      </c>
    </row>
    <row r="57" spans="1:22" ht="16.5">
      <c r="A57" s="179" t="s">
        <v>211</v>
      </c>
      <c r="B57" s="265">
        <f>'3.1 Détails charges fixes'!C50</f>
        <v>0</v>
      </c>
      <c r="C57" s="760"/>
      <c r="D57" s="760"/>
      <c r="E57" s="760"/>
      <c r="F57" s="760"/>
      <c r="G57" s="892">
        <v>63</v>
      </c>
      <c r="H57" s="760"/>
      <c r="I57" s="760"/>
      <c r="J57" s="760"/>
      <c r="K57" s="760"/>
      <c r="L57" s="760"/>
      <c r="M57" s="760"/>
      <c r="N57" s="760"/>
      <c r="O57" s="760"/>
      <c r="P57" s="779">
        <f t="shared" si="1"/>
        <v>63</v>
      </c>
    </row>
    <row r="58" spans="1:22" ht="16.5">
      <c r="A58" s="179" t="s">
        <v>620</v>
      </c>
      <c r="B58" s="265"/>
      <c r="C58" s="760"/>
      <c r="D58" s="760"/>
      <c r="E58" s="760"/>
      <c r="F58" s="760"/>
      <c r="G58" s="760"/>
      <c r="H58" s="760"/>
      <c r="I58" s="760"/>
      <c r="J58" s="760"/>
      <c r="K58" s="760"/>
      <c r="L58" s="760"/>
      <c r="M58" s="760"/>
      <c r="N58" s="760"/>
      <c r="O58" s="760"/>
      <c r="P58" s="779" t="e">
        <f t="shared" si="1"/>
        <v>#DIV/0!</v>
      </c>
    </row>
    <row r="59" spans="1:22" ht="16.5">
      <c r="A59" s="179" t="s">
        <v>213</v>
      </c>
      <c r="B59" s="265">
        <f>'3.1 Détails charges fixes'!C54</f>
        <v>0</v>
      </c>
      <c r="C59" s="760"/>
      <c r="D59" s="760"/>
      <c r="E59" s="760"/>
      <c r="F59" s="760"/>
      <c r="G59" s="760"/>
      <c r="H59" s="760"/>
      <c r="I59" s="760"/>
      <c r="J59" s="760"/>
      <c r="K59" s="760"/>
      <c r="L59" s="760"/>
      <c r="M59" s="760"/>
      <c r="N59" s="760"/>
      <c r="O59" s="760"/>
      <c r="P59" s="779" t="e">
        <f t="shared" si="1"/>
        <v>#DIV/0!</v>
      </c>
    </row>
    <row r="60" spans="1:22" ht="16.5">
      <c r="A60" s="179" t="s">
        <v>214</v>
      </c>
      <c r="B60" s="265">
        <f>'3.1 Détails charges fixes'!C52+'3.1 Détails charges fixes'!C53</f>
        <v>0</v>
      </c>
      <c r="C60" s="760"/>
      <c r="D60" s="760">
        <v>1000</v>
      </c>
      <c r="E60" s="760">
        <v>1400</v>
      </c>
      <c r="F60" s="892">
        <v>1400</v>
      </c>
      <c r="G60" s="892">
        <v>1000</v>
      </c>
      <c r="H60" s="892">
        <v>1000</v>
      </c>
      <c r="I60" s="892">
        <v>1000</v>
      </c>
      <c r="J60" s="760"/>
      <c r="K60" s="760"/>
      <c r="L60" s="760"/>
      <c r="M60" s="760"/>
      <c r="N60" s="760"/>
      <c r="O60" s="760"/>
      <c r="P60" s="779">
        <f t="shared" si="1"/>
        <v>1133.3333333333333</v>
      </c>
    </row>
    <row r="61" spans="1:22" ht="16.5">
      <c r="A61" s="179" t="s">
        <v>212</v>
      </c>
      <c r="B61" s="265">
        <f>'3.1 Détails charges fixes'!C57</f>
        <v>0</v>
      </c>
      <c r="C61" s="760"/>
      <c r="D61" s="760"/>
      <c r="E61" s="760"/>
      <c r="F61" s="760"/>
      <c r="G61" s="760"/>
      <c r="H61" s="760"/>
      <c r="I61" s="760"/>
      <c r="J61" s="760"/>
      <c r="K61" s="760"/>
      <c r="L61" s="760"/>
      <c r="M61" s="760"/>
      <c r="N61" s="760"/>
      <c r="O61" s="760"/>
      <c r="P61" s="779" t="e">
        <f t="shared" si="1"/>
        <v>#DIV/0!</v>
      </c>
    </row>
    <row r="62" spans="1:22" ht="16.5">
      <c r="A62" s="179" t="s">
        <v>607</v>
      </c>
      <c r="B62" s="265">
        <f>'3.1 Détails charges fixes'!C58</f>
        <v>0</v>
      </c>
      <c r="C62" s="760"/>
      <c r="D62" s="760"/>
      <c r="E62" s="760">
        <v>333</v>
      </c>
      <c r="F62" s="760"/>
      <c r="G62" s="760"/>
      <c r="H62" s="892">
        <v>333</v>
      </c>
      <c r="I62" s="760"/>
      <c r="J62" s="760"/>
      <c r="K62" s="760"/>
      <c r="L62" s="760"/>
      <c r="M62" s="760"/>
      <c r="N62" s="760"/>
      <c r="O62" s="760"/>
      <c r="P62" s="779">
        <f t="shared" si="1"/>
        <v>333</v>
      </c>
    </row>
    <row r="63" spans="1:22" ht="16.5">
      <c r="A63" s="179" t="s">
        <v>605</v>
      </c>
      <c r="B63" s="265">
        <f>'3.1 Détails charges fixes'!C59</f>
        <v>0</v>
      </c>
      <c r="C63" s="760"/>
      <c r="D63" s="760">
        <v>64.790000000000006</v>
      </c>
      <c r="E63" s="760">
        <v>64.790000000000006</v>
      </c>
      <c r="F63" s="892">
        <v>64.790000000000006</v>
      </c>
      <c r="G63" s="892">
        <v>64.790000000000006</v>
      </c>
      <c r="H63" s="892">
        <v>64.790000000000006</v>
      </c>
      <c r="I63" s="892">
        <v>64.790000000000006</v>
      </c>
      <c r="J63" s="760">
        <v>64.790000000000006</v>
      </c>
      <c r="K63" s="760">
        <v>64.790000000000006</v>
      </c>
      <c r="L63" s="760">
        <v>64.790000000000006</v>
      </c>
      <c r="M63" s="760">
        <v>64.790000000000006</v>
      </c>
      <c r="N63" s="760">
        <v>64.790000000000006</v>
      </c>
      <c r="O63" s="760">
        <v>64.790000000000006</v>
      </c>
      <c r="P63" s="779">
        <f t="shared" si="1"/>
        <v>64.789999999999992</v>
      </c>
    </row>
    <row r="64" spans="1:22" ht="16.5">
      <c r="A64" s="179" t="s">
        <v>606</v>
      </c>
      <c r="B64" s="265"/>
      <c r="C64" s="760"/>
      <c r="D64" s="760"/>
      <c r="E64" s="760"/>
      <c r="F64" s="760"/>
      <c r="G64" s="760"/>
      <c r="H64" s="760"/>
      <c r="I64" s="760"/>
      <c r="J64" s="760"/>
      <c r="K64" s="760"/>
      <c r="L64" s="760"/>
      <c r="M64" s="760"/>
      <c r="N64" s="760"/>
      <c r="O64" s="760"/>
      <c r="P64" s="779" t="e">
        <f t="shared" si="1"/>
        <v>#DIV/0!</v>
      </c>
    </row>
    <row r="65" spans="1:16" ht="16.5">
      <c r="A65" s="179" t="s">
        <v>602</v>
      </c>
      <c r="B65" s="265"/>
      <c r="C65" s="760"/>
      <c r="D65" s="760">
        <v>100</v>
      </c>
      <c r="E65" s="760">
        <v>100</v>
      </c>
      <c r="F65" s="892">
        <v>100</v>
      </c>
      <c r="G65" s="892">
        <v>100</v>
      </c>
      <c r="H65" s="892">
        <v>100</v>
      </c>
      <c r="I65" s="892">
        <v>100</v>
      </c>
      <c r="J65" s="760">
        <v>100</v>
      </c>
      <c r="K65" s="760">
        <v>100</v>
      </c>
      <c r="L65" s="760">
        <v>100</v>
      </c>
      <c r="M65" s="760">
        <v>100</v>
      </c>
      <c r="N65" s="760">
        <v>100</v>
      </c>
      <c r="O65" s="760">
        <v>100</v>
      </c>
      <c r="P65" s="779">
        <f t="shared" si="1"/>
        <v>100</v>
      </c>
    </row>
    <row r="66" spans="1:16" ht="16.5">
      <c r="A66" s="179" t="s">
        <v>448</v>
      </c>
      <c r="B66" s="265">
        <f>'3.1 Détails charges fixes'!C70</f>
        <v>0</v>
      </c>
      <c r="C66" s="760"/>
      <c r="D66" s="760"/>
      <c r="E66" s="760"/>
      <c r="F66" s="760"/>
      <c r="G66" s="760"/>
      <c r="H66" s="760"/>
      <c r="I66" s="760"/>
      <c r="J66" s="760"/>
      <c r="K66" s="760"/>
      <c r="L66" s="760"/>
      <c r="M66" s="760"/>
      <c r="N66" s="760"/>
      <c r="O66" s="760"/>
      <c r="P66" s="779" t="e">
        <f t="shared" si="1"/>
        <v>#DIV/0!</v>
      </c>
    </row>
    <row r="67" spans="1:16" ht="16.5">
      <c r="A67" s="179" t="s">
        <v>325</v>
      </c>
      <c r="B67" s="265">
        <f>'3,131 int emprunts'!E6</f>
        <v>0</v>
      </c>
      <c r="C67" s="263"/>
      <c r="D67" s="748">
        <f>B67</f>
        <v>0</v>
      </c>
      <c r="E67" s="748">
        <f>B67</f>
        <v>0</v>
      </c>
      <c r="F67" s="748">
        <f>B67</f>
        <v>0</v>
      </c>
      <c r="G67" s="748"/>
      <c r="H67" s="748">
        <f>B67</f>
        <v>0</v>
      </c>
      <c r="I67" s="748">
        <f>B67</f>
        <v>0</v>
      </c>
      <c r="J67" s="748">
        <f>B67</f>
        <v>0</v>
      </c>
      <c r="K67" s="748">
        <f>B67</f>
        <v>0</v>
      </c>
      <c r="L67" s="748">
        <f>B67</f>
        <v>0</v>
      </c>
      <c r="M67" s="748">
        <f>B67</f>
        <v>0</v>
      </c>
      <c r="N67" s="748">
        <f>B67</f>
        <v>0</v>
      </c>
      <c r="O67" s="748">
        <f>B67</f>
        <v>0</v>
      </c>
      <c r="P67" s="779">
        <f t="shared" si="1"/>
        <v>0</v>
      </c>
    </row>
    <row r="68" spans="1:16" ht="16.5">
      <c r="A68" s="179" t="s">
        <v>326</v>
      </c>
      <c r="B68" s="265">
        <f>'3,131 int emprunts'!E20</f>
        <v>0</v>
      </c>
      <c r="C68" s="263"/>
      <c r="D68" s="748">
        <f>B68</f>
        <v>0</v>
      </c>
      <c r="E68" s="748">
        <f>B68</f>
        <v>0</v>
      </c>
      <c r="F68" s="748">
        <f>B68</f>
        <v>0</v>
      </c>
      <c r="G68" s="748">
        <f>B68</f>
        <v>0</v>
      </c>
      <c r="H68" s="748">
        <f>B68</f>
        <v>0</v>
      </c>
      <c r="I68" s="748">
        <f>B68</f>
        <v>0</v>
      </c>
      <c r="J68" s="748">
        <f>B68</f>
        <v>0</v>
      </c>
      <c r="K68" s="748">
        <f>B68</f>
        <v>0</v>
      </c>
      <c r="L68" s="748">
        <f>B68</f>
        <v>0</v>
      </c>
      <c r="M68" s="748">
        <f>B68</f>
        <v>0</v>
      </c>
      <c r="N68" s="748">
        <f>B68</f>
        <v>0</v>
      </c>
      <c r="O68" s="748">
        <f>B68</f>
        <v>0</v>
      </c>
      <c r="P68" s="779">
        <f t="shared" si="1"/>
        <v>0</v>
      </c>
    </row>
    <row r="69" spans="1:16" ht="16.5">
      <c r="A69" s="179" t="s">
        <v>327</v>
      </c>
      <c r="B69" s="265">
        <f>'3,131 int emprunts'!L20</f>
        <v>0</v>
      </c>
      <c r="C69" s="263"/>
      <c r="D69" s="748">
        <f>B69</f>
        <v>0</v>
      </c>
      <c r="E69" s="748">
        <f>B69</f>
        <v>0</v>
      </c>
      <c r="F69" s="748">
        <f>B69</f>
        <v>0</v>
      </c>
      <c r="G69" s="748">
        <f>B69</f>
        <v>0</v>
      </c>
      <c r="H69" s="748">
        <f>B69</f>
        <v>0</v>
      </c>
      <c r="I69" s="748">
        <f>B69</f>
        <v>0</v>
      </c>
      <c r="J69" s="748">
        <f>B69</f>
        <v>0</v>
      </c>
      <c r="K69" s="748">
        <f>B69</f>
        <v>0</v>
      </c>
      <c r="L69" s="748">
        <f>B69</f>
        <v>0</v>
      </c>
      <c r="M69" s="748">
        <f>B69</f>
        <v>0</v>
      </c>
      <c r="N69" s="748">
        <f>B69</f>
        <v>0</v>
      </c>
      <c r="O69" s="748">
        <f>B69</f>
        <v>0</v>
      </c>
      <c r="P69" s="779">
        <f t="shared" si="1"/>
        <v>0</v>
      </c>
    </row>
    <row r="70" spans="1:16" ht="16.5">
      <c r="A70" s="179" t="s">
        <v>215</v>
      </c>
      <c r="B70" s="265">
        <f>'3.1 Détails charges fixes'!C73</f>
        <v>0</v>
      </c>
      <c r="C70" s="177"/>
      <c r="D70" s="761"/>
      <c r="E70" s="761"/>
      <c r="F70" s="761"/>
      <c r="G70" s="761"/>
      <c r="H70" s="761"/>
      <c r="I70" s="761"/>
      <c r="J70" s="761"/>
      <c r="K70" s="761"/>
      <c r="L70" s="761"/>
      <c r="M70" s="761"/>
      <c r="N70" s="761"/>
      <c r="O70" s="761"/>
      <c r="P70" s="779" t="e">
        <f t="shared" si="1"/>
        <v>#DIV/0!</v>
      </c>
    </row>
    <row r="71" spans="1:16" ht="16.5">
      <c r="A71" s="179" t="s">
        <v>216</v>
      </c>
      <c r="B71" s="257"/>
      <c r="C71" s="263" t="s">
        <v>0</v>
      </c>
      <c r="D71" s="759"/>
      <c r="E71" s="759"/>
      <c r="F71" s="759"/>
      <c r="G71" s="759"/>
      <c r="H71" s="759"/>
      <c r="I71" s="759"/>
      <c r="J71" s="759"/>
      <c r="K71" s="759"/>
      <c r="L71" s="759"/>
      <c r="M71" s="759"/>
      <c r="N71" s="759"/>
      <c r="O71" s="759">
        <f t="shared" ref="O71" si="3">O85</f>
        <v>0</v>
      </c>
      <c r="P71" s="779">
        <f t="shared" si="1"/>
        <v>0</v>
      </c>
    </row>
    <row r="72" spans="1:16" ht="16.5">
      <c r="A72" s="178" t="s">
        <v>217</v>
      </c>
      <c r="B72" s="258"/>
      <c r="C72" s="252">
        <f>'1.0 Plan de financement'!C17+'1.0 Plan de financement'!C21</f>
        <v>0</v>
      </c>
      <c r="D72" s="753">
        <v>0</v>
      </c>
      <c r="E72" s="753"/>
      <c r="F72" s="753"/>
      <c r="G72" s="753"/>
      <c r="H72" s="753"/>
      <c r="I72" s="753"/>
      <c r="J72" s="753"/>
      <c r="K72" s="753"/>
      <c r="L72" s="753"/>
      <c r="M72" s="753"/>
      <c r="N72" s="753"/>
      <c r="O72" s="753"/>
      <c r="P72" s="779">
        <f t="shared" si="1"/>
        <v>0</v>
      </c>
    </row>
    <row r="73" spans="1:16" ht="16.5">
      <c r="A73" s="158" t="s">
        <v>218</v>
      </c>
      <c r="B73" s="259"/>
      <c r="C73" s="253">
        <f>'1.0 Plan de financement'!C18+'1.0 Plan de financement'!C19+'1.0 Plan de financement'!C22</f>
        <v>0</v>
      </c>
      <c r="D73" s="754"/>
      <c r="E73" s="754"/>
      <c r="F73" s="754"/>
      <c r="G73" s="754"/>
      <c r="H73" s="754"/>
      <c r="I73" s="754"/>
      <c r="J73" s="754"/>
      <c r="K73" s="754"/>
      <c r="L73" s="754"/>
      <c r="M73" s="754"/>
      <c r="N73" s="754"/>
      <c r="O73" s="754"/>
      <c r="P73" s="779" t="e">
        <f t="shared" si="1"/>
        <v>#DIV/0!</v>
      </c>
    </row>
    <row r="74" spans="1:16" ht="18" customHeight="1">
      <c r="A74" s="658" t="s">
        <v>135</v>
      </c>
      <c r="B74" s="232"/>
      <c r="C74" s="173">
        <f>SUM(C17:C73)</f>
        <v>6.59</v>
      </c>
      <c r="D74" s="749">
        <f t="shared" ref="D74:O74" si="4">SUM(D17:D73)</f>
        <v>1243.27</v>
      </c>
      <c r="E74" s="749">
        <f t="shared" si="4"/>
        <v>3190.04</v>
      </c>
      <c r="F74" s="749">
        <f>SUM(F17:F73)</f>
        <v>2193.2199999999998</v>
      </c>
      <c r="G74" s="749">
        <f t="shared" si="4"/>
        <v>1670.37</v>
      </c>
      <c r="H74" s="749">
        <f t="shared" si="4"/>
        <v>2510.67</v>
      </c>
      <c r="I74" s="749">
        <f t="shared" si="4"/>
        <v>1605.69</v>
      </c>
      <c r="J74" s="749">
        <f t="shared" si="4"/>
        <v>223.56</v>
      </c>
      <c r="K74" s="749">
        <f t="shared" si="4"/>
        <v>223.56</v>
      </c>
      <c r="L74" s="749">
        <f t="shared" si="4"/>
        <v>223.56</v>
      </c>
      <c r="M74" s="749">
        <f t="shared" si="4"/>
        <v>223.56</v>
      </c>
      <c r="N74" s="749">
        <f t="shared" si="4"/>
        <v>223.56</v>
      </c>
      <c r="O74" s="749">
        <f t="shared" si="4"/>
        <v>223.56</v>
      </c>
      <c r="P74" s="779">
        <f t="shared" si="1"/>
        <v>1146.218333333333</v>
      </c>
    </row>
    <row r="75" spans="1:16" ht="18" customHeight="1">
      <c r="A75" s="659" t="s">
        <v>254</v>
      </c>
      <c r="B75" s="233"/>
      <c r="C75" s="769">
        <f t="shared" ref="C75:O75" si="5">C15-C74</f>
        <v>6068.37</v>
      </c>
      <c r="D75" s="762">
        <f t="shared" si="5"/>
        <v>3510.18</v>
      </c>
      <c r="E75" s="762">
        <f t="shared" si="5"/>
        <v>1593.2600000000002</v>
      </c>
      <c r="F75" s="762">
        <f t="shared" si="5"/>
        <v>2430.0400000000004</v>
      </c>
      <c r="G75" s="762">
        <f t="shared" si="5"/>
        <v>-1651.5</v>
      </c>
      <c r="H75" s="762">
        <f t="shared" si="5"/>
        <v>1509.33</v>
      </c>
      <c r="I75" s="762">
        <f t="shared" si="5"/>
        <v>-1165.69</v>
      </c>
      <c r="J75" s="762">
        <f t="shared" si="5"/>
        <v>-223.56</v>
      </c>
      <c r="K75" s="762">
        <f t="shared" si="5"/>
        <v>-223.56</v>
      </c>
      <c r="L75" s="762">
        <f t="shared" si="5"/>
        <v>-223.56</v>
      </c>
      <c r="M75" s="762">
        <f t="shared" si="5"/>
        <v>-223.56</v>
      </c>
      <c r="N75" s="762">
        <f t="shared" si="5"/>
        <v>-223.56</v>
      </c>
      <c r="O75" s="762">
        <f t="shared" si="5"/>
        <v>-223.56</v>
      </c>
    </row>
    <row r="76" spans="1:16" ht="18" customHeight="1">
      <c r="A76" s="659" t="s">
        <v>136</v>
      </c>
      <c r="B76" s="233"/>
      <c r="C76" s="769">
        <f>C75*1</f>
        <v>6068.37</v>
      </c>
      <c r="D76" s="762">
        <f>C76+D75</f>
        <v>9578.5499999999993</v>
      </c>
      <c r="E76" s="762">
        <f>D76+E75</f>
        <v>11171.81</v>
      </c>
      <c r="F76" s="762">
        <f t="shared" ref="F76:O76" si="6">E76+F75</f>
        <v>13601.85</v>
      </c>
      <c r="G76" s="762">
        <f t="shared" si="6"/>
        <v>11950.35</v>
      </c>
      <c r="H76" s="762">
        <f t="shared" si="6"/>
        <v>13459.68</v>
      </c>
      <c r="I76" s="762">
        <f t="shared" si="6"/>
        <v>12293.99</v>
      </c>
      <c r="J76" s="762">
        <f t="shared" si="6"/>
        <v>12070.43</v>
      </c>
      <c r="K76" s="762">
        <f t="shared" si="6"/>
        <v>11846.87</v>
      </c>
      <c r="L76" s="762">
        <f t="shared" si="6"/>
        <v>11623.310000000001</v>
      </c>
      <c r="M76" s="762">
        <f t="shared" si="6"/>
        <v>11399.750000000002</v>
      </c>
      <c r="N76" s="762">
        <f t="shared" si="6"/>
        <v>11176.190000000002</v>
      </c>
      <c r="O76" s="762">
        <f t="shared" si="6"/>
        <v>10952.630000000003</v>
      </c>
    </row>
    <row r="77" spans="1:16" ht="16.5">
      <c r="A77" s="158" t="s">
        <v>507</v>
      </c>
      <c r="B77" s="69"/>
      <c r="C77" s="169"/>
      <c r="D77" s="751"/>
      <c r="E77" s="751"/>
      <c r="F77" s="751"/>
      <c r="G77" s="751"/>
      <c r="H77" s="751"/>
      <c r="I77" s="751"/>
      <c r="J77" s="751"/>
      <c r="K77" s="751"/>
      <c r="L77" s="751"/>
      <c r="M77" s="751"/>
      <c r="N77" s="751"/>
    </row>
    <row r="78" spans="1:16" ht="16.5">
      <c r="A78" s="435">
        <v>0.2</v>
      </c>
      <c r="B78" s="69"/>
      <c r="C78" s="169"/>
      <c r="D78" s="751"/>
      <c r="E78" s="751"/>
      <c r="F78" s="751"/>
      <c r="G78" s="751"/>
      <c r="H78" s="751"/>
      <c r="I78" s="751"/>
      <c r="J78" s="751"/>
      <c r="K78" s="751"/>
      <c r="L78" s="751"/>
      <c r="M78" s="751"/>
      <c r="N78" s="751"/>
    </row>
    <row r="79" spans="1:16">
      <c r="A79" s="69" t="s">
        <v>249</v>
      </c>
      <c r="B79" s="260"/>
      <c r="C79" s="261"/>
      <c r="D79" s="763">
        <f t="shared" ref="D79:O79" si="7">SUM(D12:D14)</f>
        <v>2635.6</v>
      </c>
      <c r="E79" s="763">
        <f t="shared" si="7"/>
        <v>1320</v>
      </c>
      <c r="F79" s="763">
        <f t="shared" si="7"/>
        <v>1656</v>
      </c>
      <c r="G79" s="763">
        <f t="shared" si="7"/>
        <v>0</v>
      </c>
      <c r="H79" s="763">
        <f t="shared" si="7"/>
        <v>4020</v>
      </c>
      <c r="I79" s="763">
        <f t="shared" si="7"/>
        <v>240</v>
      </c>
      <c r="J79" s="763">
        <f t="shared" si="7"/>
        <v>0</v>
      </c>
      <c r="K79" s="763">
        <f t="shared" si="7"/>
        <v>0</v>
      </c>
      <c r="L79" s="763">
        <f t="shared" si="7"/>
        <v>0</v>
      </c>
      <c r="M79" s="763">
        <f t="shared" si="7"/>
        <v>0</v>
      </c>
      <c r="N79" s="763">
        <f t="shared" si="7"/>
        <v>0</v>
      </c>
      <c r="O79" s="763">
        <f t="shared" si="7"/>
        <v>0</v>
      </c>
    </row>
    <row r="80" spans="1:16">
      <c r="A80" s="69" t="s">
        <v>250</v>
      </c>
      <c r="B80" s="260"/>
      <c r="C80" s="261"/>
      <c r="D80" s="763">
        <f>(D79/(100%+A78))*A78</f>
        <v>439.26666666666671</v>
      </c>
      <c r="E80" s="763">
        <f>(E79/(100%+A78))*A78</f>
        <v>220</v>
      </c>
      <c r="F80" s="763">
        <f>(F79/(100%+A78))*A78</f>
        <v>276</v>
      </c>
      <c r="G80" s="763">
        <f>(G79/(100%+A78))*A78</f>
        <v>0</v>
      </c>
      <c r="H80" s="763">
        <f>(H79/(100%+A78))*A78</f>
        <v>670</v>
      </c>
      <c r="I80" s="763">
        <f>(I79/(100%+A78))*A78</f>
        <v>40</v>
      </c>
      <c r="J80" s="763">
        <f>(J79/(100%+A78))*A78</f>
        <v>0</v>
      </c>
      <c r="K80" s="763">
        <f>(K79/(100%+A78))*A78</f>
        <v>0</v>
      </c>
      <c r="L80" s="763">
        <f>(L79/(100%+A78))*A78</f>
        <v>0</v>
      </c>
      <c r="M80" s="763">
        <f>(M79/(100%+A78))*A78</f>
        <v>0</v>
      </c>
      <c r="N80" s="763">
        <f>(N79/(100%+A78))*A78</f>
        <v>0</v>
      </c>
      <c r="O80" s="763">
        <f>(O79/(100%+A78))*A78</f>
        <v>0</v>
      </c>
    </row>
    <row r="81" spans="1:15">
      <c r="A81" s="69" t="s">
        <v>252</v>
      </c>
      <c r="B81" s="260"/>
      <c r="C81" s="342">
        <f>SUM(C18:C42)+C49+C51-C28-C34</f>
        <v>6.59</v>
      </c>
      <c r="D81" s="763">
        <f>SUM(D18:D42)+D49+D51-D28-D34+D72</f>
        <v>63.78</v>
      </c>
      <c r="E81" s="763">
        <f t="shared" ref="E81:O81" si="8">SUM(E18:E42)+E49+E51-E28-E34</f>
        <v>495.83000000000004</v>
      </c>
      <c r="F81" s="763">
        <f t="shared" si="8"/>
        <v>620.17999999999995</v>
      </c>
      <c r="G81" s="763">
        <f t="shared" si="8"/>
        <v>63.620000000000005</v>
      </c>
      <c r="H81" s="763">
        <f t="shared" si="8"/>
        <v>219.12</v>
      </c>
      <c r="I81" s="763">
        <f t="shared" si="8"/>
        <v>392.29999999999995</v>
      </c>
      <c r="J81" s="763">
        <f t="shared" si="8"/>
        <v>58.769999999999996</v>
      </c>
      <c r="K81" s="763">
        <f t="shared" si="8"/>
        <v>58.769999999999996</v>
      </c>
      <c r="L81" s="763">
        <f t="shared" si="8"/>
        <v>58.769999999999996</v>
      </c>
      <c r="M81" s="763">
        <f t="shared" si="8"/>
        <v>58.769999999999996</v>
      </c>
      <c r="N81" s="763">
        <f t="shared" si="8"/>
        <v>58.769999999999996</v>
      </c>
      <c r="O81" s="763">
        <f t="shared" si="8"/>
        <v>58.769999999999996</v>
      </c>
    </row>
    <row r="82" spans="1:15">
      <c r="A82" s="69" t="s">
        <v>251</v>
      </c>
      <c r="B82" s="260"/>
      <c r="C82" s="254">
        <f>'1.0 Plan de financement'!C21+'1.0 Plan de financement'!C22+(C81/1.196*0.196)</f>
        <v>1.0799665551839466</v>
      </c>
      <c r="D82" s="763">
        <f>D81/120*20</f>
        <v>10.629999999999999</v>
      </c>
      <c r="E82" s="763">
        <f>E81/120*20</f>
        <v>82.63833333333335</v>
      </c>
      <c r="F82" s="763">
        <f>F81/120*19.6</f>
        <v>101.29606666666666</v>
      </c>
      <c r="G82" s="763">
        <f t="shared" ref="G82:O82" si="9">G81/120*20</f>
        <v>10.603333333333333</v>
      </c>
      <c r="H82" s="763">
        <f t="shared" si="9"/>
        <v>36.520000000000003</v>
      </c>
      <c r="I82" s="763">
        <f t="shared" si="9"/>
        <v>65.383333333333326</v>
      </c>
      <c r="J82" s="763">
        <f t="shared" si="9"/>
        <v>9.7949999999999999</v>
      </c>
      <c r="K82" s="763">
        <f t="shared" si="9"/>
        <v>9.7949999999999999</v>
      </c>
      <c r="L82" s="763">
        <f t="shared" si="9"/>
        <v>9.7949999999999999</v>
      </c>
      <c r="M82" s="763">
        <f t="shared" si="9"/>
        <v>9.7949999999999999</v>
      </c>
      <c r="N82" s="763">
        <f t="shared" si="9"/>
        <v>9.7949999999999999</v>
      </c>
      <c r="O82" s="763">
        <f t="shared" si="9"/>
        <v>9.7949999999999999</v>
      </c>
    </row>
    <row r="83" spans="1:15">
      <c r="A83" s="69" t="s">
        <v>255</v>
      </c>
      <c r="B83" s="260"/>
      <c r="C83" s="342">
        <f>IF(B85&gt;0,C82,C82-B84)</f>
        <v>1.0799665551839466</v>
      </c>
      <c r="D83" s="763">
        <f>IF(C85&gt;0,D82,D82-C84)</f>
        <v>11.709966555183946</v>
      </c>
      <c r="E83" s="763">
        <f>IF(D85&gt;0,E82,E82-D84)</f>
        <v>82.63833333333335</v>
      </c>
      <c r="F83" s="763">
        <f t="shared" ref="F83:O83" si="10">IF(E85&gt;0,F82,F82-E84)</f>
        <v>101.29606666666666</v>
      </c>
      <c r="G83" s="763">
        <f t="shared" si="10"/>
        <v>10.603333333333333</v>
      </c>
      <c r="H83" s="763">
        <f t="shared" si="10"/>
        <v>47.123333333333335</v>
      </c>
      <c r="I83" s="763">
        <f t="shared" si="10"/>
        <v>65.383333333333326</v>
      </c>
      <c r="J83" s="763">
        <f t="shared" si="10"/>
        <v>35.178333333333327</v>
      </c>
      <c r="K83" s="763">
        <f t="shared" si="10"/>
        <v>44.973333333333329</v>
      </c>
      <c r="L83" s="763">
        <f t="shared" si="10"/>
        <v>54.768333333333331</v>
      </c>
      <c r="M83" s="763">
        <f t="shared" si="10"/>
        <v>64.563333333333333</v>
      </c>
      <c r="N83" s="763">
        <f t="shared" si="10"/>
        <v>74.358333333333334</v>
      </c>
      <c r="O83" s="763">
        <f t="shared" si="10"/>
        <v>84.153333333333336</v>
      </c>
    </row>
    <row r="84" spans="1:15">
      <c r="A84" s="69" t="s">
        <v>253</v>
      </c>
      <c r="B84" s="260"/>
      <c r="C84" s="342">
        <f>C80-C82</f>
        <v>-1.0799665551839466</v>
      </c>
      <c r="D84" s="763">
        <f>D80-D83</f>
        <v>427.55670011148277</v>
      </c>
      <c r="E84" s="763">
        <f>E80-E83</f>
        <v>137.36166666666665</v>
      </c>
      <c r="F84" s="763">
        <f>F80-F83</f>
        <v>174.70393333333334</v>
      </c>
      <c r="G84" s="763">
        <f>IF(F84&gt;0,G80-G83,G80-G83)</f>
        <v>-10.603333333333333</v>
      </c>
      <c r="H84" s="763">
        <f t="shared" ref="H84:O84" si="11">IF(G84&gt;0,H80-H83,H80-H83)</f>
        <v>622.87666666666667</v>
      </c>
      <c r="I84" s="763">
        <f t="shared" si="11"/>
        <v>-25.383333333333326</v>
      </c>
      <c r="J84" s="763">
        <f t="shared" si="11"/>
        <v>-35.178333333333327</v>
      </c>
      <c r="K84" s="763">
        <f t="shared" si="11"/>
        <v>-44.973333333333329</v>
      </c>
      <c r="L84" s="763">
        <f t="shared" si="11"/>
        <v>-54.768333333333331</v>
      </c>
      <c r="M84" s="763">
        <f t="shared" si="11"/>
        <v>-64.563333333333333</v>
      </c>
      <c r="N84" s="763">
        <f t="shared" si="11"/>
        <v>-74.358333333333334</v>
      </c>
      <c r="O84" s="763">
        <f t="shared" si="11"/>
        <v>-84.153333333333336</v>
      </c>
    </row>
    <row r="85" spans="1:15">
      <c r="A85" s="69" t="s">
        <v>216</v>
      </c>
      <c r="B85" s="260"/>
      <c r="C85" s="342">
        <v>0</v>
      </c>
      <c r="D85" s="763">
        <f>IF(D84&lt;0,0,D84)</f>
        <v>427.55670011148277</v>
      </c>
      <c r="E85" s="763">
        <f>IF(E84&lt;0,0,E84)</f>
        <v>137.36166666666665</v>
      </c>
      <c r="F85" s="763">
        <f t="shared" ref="F85:O85" si="12">IF(F84&lt;0,0,F84)</f>
        <v>174.70393333333334</v>
      </c>
      <c r="G85" s="763">
        <f t="shared" si="12"/>
        <v>0</v>
      </c>
      <c r="H85" s="763">
        <f t="shared" si="12"/>
        <v>622.87666666666667</v>
      </c>
      <c r="I85" s="763">
        <f t="shared" si="12"/>
        <v>0</v>
      </c>
      <c r="J85" s="763">
        <f t="shared" si="12"/>
        <v>0</v>
      </c>
      <c r="K85" s="763">
        <f t="shared" si="12"/>
        <v>0</v>
      </c>
      <c r="L85" s="763">
        <f t="shared" si="12"/>
        <v>0</v>
      </c>
      <c r="M85" s="763">
        <f t="shared" si="12"/>
        <v>0</v>
      </c>
      <c r="N85" s="763">
        <f t="shared" si="12"/>
        <v>0</v>
      </c>
      <c r="O85" s="763">
        <f t="shared" si="12"/>
        <v>0</v>
      </c>
    </row>
    <row r="86" spans="1:15">
      <c r="A86" s="69"/>
      <c r="B86" s="69"/>
      <c r="C86" s="169"/>
      <c r="D86" s="751"/>
      <c r="E86" s="751"/>
      <c r="F86" s="751"/>
      <c r="G86" s="751"/>
      <c r="H86" s="751"/>
      <c r="I86" s="751"/>
      <c r="J86" s="751"/>
      <c r="K86" s="751"/>
      <c r="L86" s="751"/>
      <c r="M86" s="751"/>
      <c r="N86" s="751"/>
    </row>
    <row r="87" spans="1:15">
      <c r="A87" s="69"/>
      <c r="B87" s="69"/>
      <c r="C87" s="169"/>
      <c r="D87" s="751"/>
      <c r="E87" s="751"/>
      <c r="F87" s="751"/>
      <c r="G87" s="751" t="s">
        <v>0</v>
      </c>
      <c r="H87" s="751"/>
      <c r="I87" s="751"/>
      <c r="J87" s="751"/>
      <c r="K87" s="751"/>
      <c r="L87" s="751"/>
      <c r="M87" s="751"/>
      <c r="N87" s="751"/>
    </row>
    <row r="88" spans="1:15" s="767" customFormat="1">
      <c r="A88" s="767" t="s">
        <v>610</v>
      </c>
      <c r="C88" s="753">
        <v>3463.3</v>
      </c>
      <c r="D88" s="764">
        <v>3463.3</v>
      </c>
      <c r="E88" s="764">
        <v>1167.26</v>
      </c>
      <c r="F88" s="764">
        <v>2413.04</v>
      </c>
      <c r="G88" s="764">
        <v>572.75</v>
      </c>
      <c r="H88" s="764">
        <v>1944.08</v>
      </c>
      <c r="I88" s="764">
        <v>351.39</v>
      </c>
      <c r="J88" s="764"/>
      <c r="K88" s="764"/>
      <c r="L88" s="764"/>
      <c r="M88" s="764"/>
      <c r="N88" s="764"/>
      <c r="O88" s="751"/>
    </row>
    <row r="89" spans="1:15" s="767" customFormat="1">
      <c r="A89" s="767" t="s">
        <v>611</v>
      </c>
      <c r="C89" s="768">
        <v>6074.96</v>
      </c>
      <c r="D89" s="764">
        <v>6074.96</v>
      </c>
      <c r="E89" s="764">
        <v>6074.96</v>
      </c>
      <c r="F89" s="764">
        <v>4274.96</v>
      </c>
      <c r="G89" s="764">
        <v>4290.75</v>
      </c>
      <c r="H89" s="764">
        <v>4290.75</v>
      </c>
      <c r="I89" s="764">
        <v>4090.75</v>
      </c>
      <c r="J89" s="764"/>
      <c r="K89" s="764"/>
      <c r="L89" s="764"/>
      <c r="M89" s="764"/>
      <c r="N89" s="764"/>
      <c r="O89" s="751"/>
    </row>
    <row r="90" spans="1:15" s="29" customFormat="1" ht="12.75">
      <c r="C90" s="770">
        <f>C88+C89</f>
        <v>9538.26</v>
      </c>
      <c r="D90" s="770">
        <f>D88+D89</f>
        <v>9538.26</v>
      </c>
      <c r="E90" s="770">
        <f>E88+E89</f>
        <v>7242.22</v>
      </c>
      <c r="F90" s="770">
        <f t="shared" ref="F90:O90" si="13">F88+F89</f>
        <v>6688</v>
      </c>
      <c r="G90" s="770">
        <f t="shared" si="13"/>
        <v>4863.5</v>
      </c>
      <c r="H90" s="770">
        <f t="shared" si="13"/>
        <v>6234.83</v>
      </c>
      <c r="I90" s="770">
        <f t="shared" si="13"/>
        <v>4442.1400000000003</v>
      </c>
      <c r="J90" s="770">
        <f t="shared" si="13"/>
        <v>0</v>
      </c>
      <c r="K90" s="770">
        <f t="shared" si="13"/>
        <v>0</v>
      </c>
      <c r="L90" s="770">
        <f t="shared" si="13"/>
        <v>0</v>
      </c>
      <c r="M90" s="770">
        <f t="shared" si="13"/>
        <v>0</v>
      </c>
      <c r="N90" s="770">
        <f t="shared" si="13"/>
        <v>0</v>
      </c>
      <c r="O90" s="770">
        <f t="shared" si="13"/>
        <v>0</v>
      </c>
    </row>
    <row r="92" spans="1:15">
      <c r="M92" s="764">
        <f>+M75-M90</f>
        <v>-223.56</v>
      </c>
    </row>
    <row r="93" spans="1:15" ht="18" customHeight="1"/>
    <row r="94" spans="1:15" ht="13.5" customHeight="1"/>
    <row r="103" ht="18" customHeight="1"/>
    <row r="104" ht="14.25" customHeight="1"/>
    <row r="142" ht="18" customHeight="1"/>
    <row r="143" ht="6" customHeight="1"/>
    <row r="144" ht="18" customHeight="1"/>
    <row r="145" spans="1:1" ht="6" customHeight="1"/>
    <row r="146" spans="1:1" ht="18" customHeight="1"/>
    <row r="147" spans="1:1" ht="6" customHeight="1"/>
    <row r="148" spans="1:1">
      <c r="A148" s="29"/>
    </row>
    <row r="149" spans="1:1">
      <c r="A149" s="29"/>
    </row>
    <row r="150" spans="1:1">
      <c r="A150" s="29"/>
    </row>
    <row r="157" spans="1:1" ht="18" customHeight="1"/>
    <row r="158" spans="1:1" ht="6" customHeight="1"/>
    <row r="167" ht="18" customHeight="1"/>
    <row r="168" ht="6" customHeight="1"/>
    <row r="206" ht="18" customHeight="1"/>
    <row r="207" ht="6" customHeight="1"/>
    <row r="208" ht="18" customHeight="1"/>
    <row r="209" ht="6" customHeight="1"/>
    <row r="210" ht="18" customHeight="1"/>
    <row r="211" ht="6" customHeight="1"/>
  </sheetData>
  <mergeCells count="1">
    <mergeCell ref="A1:N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71" orientation="portrait" horizontalDpi="4294967292" r:id="rId1"/>
  <headerFooter alignWithMargins="0">
    <oddHeader>&amp;R4,0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Feuil24">
    <pageSetUpPr fitToPage="1"/>
  </sheetPr>
  <dimension ref="A1:L55"/>
  <sheetViews>
    <sheetView zoomScale="75" workbookViewId="0">
      <selection activeCell="E52" sqref="E52"/>
    </sheetView>
  </sheetViews>
  <sheetFormatPr baseColWidth="10" defaultRowHeight="12.75"/>
  <cols>
    <col min="1" max="1" width="43.140625" bestFit="1" customWidth="1"/>
    <col min="2" max="2" width="7" customWidth="1"/>
    <col min="3" max="3" width="11.42578125" style="49" customWidth="1"/>
    <col min="4" max="4" width="3" customWidth="1"/>
    <col min="6" max="6" width="3.140625" customWidth="1"/>
    <col min="8" max="8" width="2.7109375" customWidth="1"/>
    <col min="10" max="10" width="3.28515625" customWidth="1"/>
  </cols>
  <sheetData>
    <row r="1" spans="1:11" ht="23.25" thickBot="1">
      <c r="A1" s="816" t="s">
        <v>354</v>
      </c>
      <c r="B1" s="817"/>
      <c r="C1" s="866"/>
    </row>
    <row r="3" spans="1:11" ht="15.75">
      <c r="C3" s="396">
        <v>2005</v>
      </c>
      <c r="E3" s="397">
        <v>2004</v>
      </c>
      <c r="F3" s="397"/>
      <c r="G3" s="397">
        <v>2003</v>
      </c>
      <c r="I3" s="397">
        <v>2002</v>
      </c>
      <c r="K3" s="397">
        <v>2001</v>
      </c>
    </row>
    <row r="5" spans="1:11">
      <c r="A5" t="s">
        <v>170</v>
      </c>
      <c r="C5" s="49">
        <v>1E-3</v>
      </c>
      <c r="E5" s="49">
        <v>1E-3</v>
      </c>
      <c r="F5" s="49"/>
      <c r="G5" s="49">
        <v>1E-3</v>
      </c>
      <c r="I5" s="49">
        <v>1E-3</v>
      </c>
      <c r="K5" s="49">
        <v>1E-3</v>
      </c>
    </row>
    <row r="6" spans="1:11">
      <c r="A6" t="s">
        <v>355</v>
      </c>
      <c r="C6" s="49">
        <v>1E-3</v>
      </c>
      <c r="E6" s="49">
        <v>1E-3</v>
      </c>
      <c r="F6" s="49"/>
      <c r="G6" s="49">
        <v>1E-3</v>
      </c>
      <c r="I6" s="49">
        <v>1E-3</v>
      </c>
      <c r="K6" s="49">
        <v>1E-3</v>
      </c>
    </row>
    <row r="7" spans="1:11">
      <c r="A7" t="s">
        <v>356</v>
      </c>
      <c r="C7" s="49">
        <v>1E-3</v>
      </c>
      <c r="E7" s="49">
        <v>1E-3</v>
      </c>
      <c r="F7" s="49"/>
      <c r="G7" s="49">
        <v>1E-3</v>
      </c>
      <c r="I7" s="49">
        <v>1E-3</v>
      </c>
      <c r="K7" s="49">
        <v>1E-3</v>
      </c>
    </row>
    <row r="8" spans="1:11">
      <c r="A8" s="459" t="s">
        <v>359</v>
      </c>
      <c r="B8" s="1"/>
      <c r="C8" s="400">
        <f>SUM(C5:C7)</f>
        <v>3.0000000000000001E-3</v>
      </c>
      <c r="E8" s="400">
        <f>SUM(E5:E7)</f>
        <v>3.0000000000000001E-3</v>
      </c>
      <c r="F8" s="401"/>
      <c r="G8" s="400">
        <f>SUM(G5:G7)</f>
        <v>3.0000000000000001E-3</v>
      </c>
      <c r="I8" s="400">
        <f>SUM(I5:I7)</f>
        <v>3.0000000000000001E-3</v>
      </c>
      <c r="K8" s="400">
        <f>SUM(K5:K7)</f>
        <v>3.0000000000000001E-3</v>
      </c>
    </row>
    <row r="9" spans="1:11">
      <c r="E9" s="49"/>
      <c r="F9" s="402"/>
      <c r="G9" s="49"/>
      <c r="I9" s="49"/>
      <c r="K9" s="49"/>
    </row>
    <row r="10" spans="1:11">
      <c r="A10" t="s">
        <v>357</v>
      </c>
      <c r="C10" s="49">
        <v>1.0000000000100001E-3</v>
      </c>
      <c r="E10" s="49">
        <v>1.0000000000100001E-3</v>
      </c>
      <c r="F10" s="402"/>
      <c r="G10" s="49">
        <v>1.0000000000100001E-3</v>
      </c>
      <c r="I10" s="49">
        <v>1.0000000000100001E-3</v>
      </c>
      <c r="K10" s="49">
        <v>1.0000000000100001E-3</v>
      </c>
    </row>
    <row r="11" spans="1:11">
      <c r="A11" t="s">
        <v>382</v>
      </c>
      <c r="C11" s="49">
        <v>-1E-3</v>
      </c>
      <c r="E11" s="49">
        <v>-1E-3</v>
      </c>
      <c r="F11" s="402"/>
      <c r="G11" s="49">
        <v>-1E-3</v>
      </c>
      <c r="I11" s="49">
        <v>-1E-3</v>
      </c>
      <c r="K11" s="49">
        <v>-1E-3</v>
      </c>
    </row>
    <row r="12" spans="1:11">
      <c r="A12" t="s">
        <v>358</v>
      </c>
      <c r="C12" s="49">
        <v>1E-3</v>
      </c>
      <c r="E12" s="49">
        <v>1E-3</v>
      </c>
      <c r="F12" s="402"/>
      <c r="G12" s="49">
        <v>1E-3</v>
      </c>
      <c r="I12" s="49">
        <v>1E-3</v>
      </c>
      <c r="K12" s="49">
        <v>1E-3</v>
      </c>
    </row>
    <row r="13" spans="1:11">
      <c r="A13" t="s">
        <v>383</v>
      </c>
      <c r="C13" s="49">
        <v>-1E-3</v>
      </c>
      <c r="E13" s="49">
        <v>-1E-3</v>
      </c>
      <c r="F13" s="402"/>
      <c r="G13" s="49">
        <v>-1E-3</v>
      </c>
      <c r="I13" s="49">
        <v>-1E-3</v>
      </c>
      <c r="K13" s="49">
        <v>-1E-3</v>
      </c>
    </row>
    <row r="14" spans="1:11">
      <c r="A14" s="459" t="s">
        <v>360</v>
      </c>
      <c r="B14" s="1"/>
      <c r="C14" s="400">
        <f>SUM(C10:C13)</f>
        <v>1.0000030317702802E-14</v>
      </c>
      <c r="E14" s="400">
        <f>SUM(E10:E13)</f>
        <v>1.0000030317702802E-14</v>
      </c>
      <c r="F14" s="401"/>
      <c r="G14" s="400">
        <f>SUM(G10:G13)</f>
        <v>1.0000030317702802E-14</v>
      </c>
      <c r="I14" s="400">
        <f>SUM(I10:I13)</f>
        <v>1.0000030317702802E-14</v>
      </c>
      <c r="K14" s="400">
        <f>SUM(K10:K13)</f>
        <v>1.0000030317702802E-14</v>
      </c>
    </row>
    <row r="15" spans="1:11">
      <c r="E15" s="49"/>
      <c r="F15" s="402"/>
      <c r="G15" s="49"/>
      <c r="I15" s="49"/>
      <c r="K15" s="49"/>
    </row>
    <row r="16" spans="1:11">
      <c r="E16" s="49"/>
      <c r="F16" s="402"/>
      <c r="G16" s="49"/>
      <c r="I16" s="49"/>
      <c r="K16" s="49"/>
    </row>
    <row r="17" spans="1:12">
      <c r="A17" t="s">
        <v>362</v>
      </c>
      <c r="C17" s="389">
        <f>C5-(C10+C11)</f>
        <v>9.9999999998999999E-4</v>
      </c>
      <c r="E17" s="389">
        <f>E5-(E10+E11)</f>
        <v>9.9999999998999999E-4</v>
      </c>
      <c r="F17" s="402"/>
      <c r="G17" s="389">
        <f>G5-(G10+G11)</f>
        <v>9.9999999998999999E-4</v>
      </c>
      <c r="I17" s="389">
        <f>I5-(I10+I11)</f>
        <v>9.9999999998999999E-4</v>
      </c>
      <c r="K17" s="389">
        <f>K5-(K10+K11)</f>
        <v>9.9999999998999999E-4</v>
      </c>
    </row>
    <row r="18" spans="1:12">
      <c r="A18" t="s">
        <v>363</v>
      </c>
      <c r="C18" s="395">
        <f>C17/C5</f>
        <v>0.99999999999</v>
      </c>
      <c r="E18" s="395">
        <f>E17/E5</f>
        <v>0.99999999999</v>
      </c>
      <c r="F18" s="403"/>
      <c r="G18" s="395">
        <f>G17/G5</f>
        <v>0.99999999999</v>
      </c>
      <c r="I18" s="395">
        <f>I17/I5</f>
        <v>0.99999999999</v>
      </c>
      <c r="K18" s="395">
        <f>K17/K5</f>
        <v>0.99999999999</v>
      </c>
    </row>
    <row r="19" spans="1:12">
      <c r="E19" s="49"/>
      <c r="F19" s="402"/>
      <c r="G19" s="49"/>
      <c r="I19" s="49"/>
      <c r="K19" s="49"/>
    </row>
    <row r="20" spans="1:12">
      <c r="A20" t="s">
        <v>364</v>
      </c>
      <c r="C20" s="389">
        <f>(C6+C7)-(C12+C13)</f>
        <v>2E-3</v>
      </c>
      <c r="E20" s="389">
        <f>(E6+E7)-(E12+E13)</f>
        <v>2E-3</v>
      </c>
      <c r="F20" s="402"/>
      <c r="G20" s="389">
        <f>(G6+G7)-(G12+G13)</f>
        <v>2E-3</v>
      </c>
      <c r="I20" s="389">
        <f>(I6+I7)-(I12+I13)</f>
        <v>2E-3</v>
      </c>
      <c r="K20" s="389">
        <f>(K6+K7)-(K12+K13)</f>
        <v>2E-3</v>
      </c>
    </row>
    <row r="21" spans="1:12">
      <c r="A21" t="s">
        <v>365</v>
      </c>
      <c r="C21" s="395">
        <f>C20/(C6+C7)</f>
        <v>1</v>
      </c>
      <c r="E21" s="395">
        <f>E20/(E6+E7)</f>
        <v>1</v>
      </c>
      <c r="F21" s="403"/>
      <c r="G21" s="395">
        <f>G20/(G6+G7)</f>
        <v>1</v>
      </c>
      <c r="I21" s="395">
        <f>I20/(I6+I7)</f>
        <v>1</v>
      </c>
      <c r="K21" s="395">
        <f>K20/(K6+K7)</f>
        <v>1</v>
      </c>
    </row>
    <row r="22" spans="1:12">
      <c r="E22" s="49"/>
      <c r="F22" s="402"/>
      <c r="G22" s="49"/>
      <c r="I22" s="49"/>
      <c r="K22" s="49"/>
    </row>
    <row r="23" spans="1:12">
      <c r="E23" s="49"/>
      <c r="F23" s="402"/>
      <c r="G23" s="49"/>
      <c r="I23" s="49"/>
      <c r="K23" s="49"/>
    </row>
    <row r="24" spans="1:12" ht="13.5" thickBot="1">
      <c r="A24" t="s">
        <v>361</v>
      </c>
      <c r="C24" s="389">
        <f>C17+C20</f>
        <v>2.9999999999900002E-3</v>
      </c>
      <c r="E24" s="389">
        <f>E17+E20</f>
        <v>2.9999999999900002E-3</v>
      </c>
      <c r="F24" s="402"/>
      <c r="G24" s="389">
        <f>G17+G20</f>
        <v>2.9999999999900002E-3</v>
      </c>
      <c r="I24" s="389">
        <f>I17+I20</f>
        <v>2.9999999999900002E-3</v>
      </c>
      <c r="K24" s="389">
        <f>K17+K20</f>
        <v>2.9999999999900002E-3</v>
      </c>
      <c r="L24" s="2"/>
    </row>
    <row r="25" spans="1:12" ht="13.5" thickBot="1">
      <c r="A25" s="459" t="s">
        <v>380</v>
      </c>
      <c r="B25" s="1"/>
      <c r="C25" s="398">
        <f>C24/C8</f>
        <v>0.99999999999666678</v>
      </c>
      <c r="E25" s="398">
        <f>E24/E8</f>
        <v>0.99999999999666678</v>
      </c>
      <c r="F25" s="404"/>
      <c r="G25" s="398">
        <f>G24/G8</f>
        <v>0.99999999999666678</v>
      </c>
      <c r="I25" s="398">
        <f>I24/I8</f>
        <v>0.99999999999666678</v>
      </c>
      <c r="K25" s="398">
        <f>K24/K8</f>
        <v>0.99999999999666678</v>
      </c>
    </row>
    <row r="26" spans="1:12">
      <c r="E26" s="49"/>
      <c r="F26" s="402"/>
      <c r="G26" s="49"/>
      <c r="I26" s="49"/>
      <c r="K26" s="49"/>
    </row>
    <row r="27" spans="1:12">
      <c r="E27" s="49"/>
      <c r="F27" s="402"/>
      <c r="G27" s="49"/>
      <c r="I27" s="49"/>
      <c r="K27" s="49"/>
    </row>
    <row r="28" spans="1:12">
      <c r="A28" t="s">
        <v>366</v>
      </c>
      <c r="C28" s="49">
        <v>0</v>
      </c>
      <c r="E28" s="49">
        <v>0</v>
      </c>
      <c r="F28" s="402"/>
      <c r="G28" s="49">
        <v>0</v>
      </c>
      <c r="I28" s="49">
        <v>0</v>
      </c>
      <c r="K28" s="49">
        <v>0</v>
      </c>
    </row>
    <row r="29" spans="1:12">
      <c r="A29" t="s">
        <v>103</v>
      </c>
      <c r="C29" s="49">
        <v>0</v>
      </c>
      <c r="E29" s="49">
        <v>0</v>
      </c>
      <c r="F29" s="402"/>
      <c r="G29" s="49">
        <v>0</v>
      </c>
      <c r="I29" s="49">
        <v>0</v>
      </c>
      <c r="K29" s="49">
        <v>0</v>
      </c>
    </row>
    <row r="30" spans="1:12">
      <c r="A30" s="460" t="s">
        <v>367</v>
      </c>
      <c r="B30" s="1"/>
      <c r="C30" s="394">
        <f>C8-C28-C29</f>
        <v>3.0000000000000001E-3</v>
      </c>
      <c r="E30" s="394">
        <f>E8-E28-E29</f>
        <v>3.0000000000000001E-3</v>
      </c>
      <c r="F30" s="402"/>
      <c r="G30" s="394">
        <f>G8-G28-G29</f>
        <v>3.0000000000000001E-3</v>
      </c>
      <c r="I30" s="394">
        <f>I8-I28-I29</f>
        <v>3.0000000000000001E-3</v>
      </c>
      <c r="K30" s="394">
        <f>K8-K28-K29</f>
        <v>3.0000000000000001E-3</v>
      </c>
    </row>
    <row r="31" spans="1:12">
      <c r="E31" s="49"/>
      <c r="F31" s="402"/>
      <c r="G31" s="49"/>
      <c r="I31" s="49"/>
      <c r="K31" s="49"/>
    </row>
    <row r="32" spans="1:12">
      <c r="A32" t="s">
        <v>459</v>
      </c>
      <c r="E32" s="49"/>
      <c r="F32" s="402"/>
      <c r="G32" s="49"/>
      <c r="I32" s="49"/>
      <c r="K32" s="49"/>
    </row>
    <row r="33" spans="1:11">
      <c r="A33" t="s">
        <v>373</v>
      </c>
      <c r="B33" s="390"/>
      <c r="C33" s="390">
        <v>1</v>
      </c>
      <c r="E33" s="390">
        <v>1</v>
      </c>
      <c r="F33" s="405"/>
      <c r="G33" s="390">
        <v>1</v>
      </c>
      <c r="I33" s="390">
        <v>1</v>
      </c>
      <c r="K33" s="390">
        <v>1</v>
      </c>
    </row>
    <row r="34" spans="1:11">
      <c r="A34" t="s">
        <v>374</v>
      </c>
      <c r="B34" s="393">
        <v>1</v>
      </c>
      <c r="C34" s="391">
        <v>0</v>
      </c>
      <c r="E34" s="391">
        <v>0</v>
      </c>
      <c r="F34" s="405"/>
      <c r="G34" s="391">
        <v>0</v>
      </c>
      <c r="I34" s="391">
        <v>0</v>
      </c>
      <c r="K34" s="391">
        <v>0</v>
      </c>
    </row>
    <row r="35" spans="1:11">
      <c r="A35" t="s">
        <v>375</v>
      </c>
      <c r="B35" s="391"/>
      <c r="C35" s="391">
        <v>0</v>
      </c>
      <c r="E35" s="391">
        <v>0</v>
      </c>
      <c r="F35" s="405"/>
      <c r="G35" s="391">
        <v>0</v>
      </c>
      <c r="I35" s="391">
        <v>0</v>
      </c>
      <c r="K35" s="391">
        <v>0</v>
      </c>
    </row>
    <row r="36" spans="1:11">
      <c r="A36" s="460" t="s">
        <v>376</v>
      </c>
      <c r="B36" s="392"/>
      <c r="C36" s="395">
        <f>(19.6%*C33)+(5.5%*C34)+(0%*C35)</f>
        <v>0.19600000000000001</v>
      </c>
      <c r="E36" s="395">
        <f>(19.6%*E33)+(5.5%*E34)+(0%*E35)</f>
        <v>0.19600000000000001</v>
      </c>
      <c r="F36" s="403"/>
      <c r="G36" s="395">
        <f>(19.6%*G33)+(5.5%*G34)+(0%*G35)</f>
        <v>0.19600000000000001</v>
      </c>
      <c r="I36" s="395">
        <f>(19.6%*I33)+(5.5%*I34)+(0%*I35)</f>
        <v>0.19600000000000001</v>
      </c>
      <c r="K36" s="395">
        <f>(19.6%*K33)+(5.5%*K34)+(0%*K35)</f>
        <v>0.19600000000000001</v>
      </c>
    </row>
    <row r="37" spans="1:11">
      <c r="E37" s="49"/>
      <c r="F37" s="402"/>
      <c r="G37" s="49"/>
      <c r="I37" s="49"/>
      <c r="K37" s="49"/>
    </row>
    <row r="38" spans="1:11">
      <c r="E38" s="49"/>
      <c r="F38" s="402"/>
      <c r="G38" s="49"/>
      <c r="I38" s="49"/>
      <c r="K38" s="49"/>
    </row>
    <row r="39" spans="1:11">
      <c r="A39" t="s">
        <v>368</v>
      </c>
      <c r="C39" s="49">
        <v>0</v>
      </c>
      <c r="E39" s="49">
        <v>0</v>
      </c>
      <c r="F39" s="402"/>
      <c r="G39" s="49">
        <v>0</v>
      </c>
      <c r="I39" s="49">
        <v>0</v>
      </c>
      <c r="K39" s="49">
        <v>0</v>
      </c>
    </row>
    <row r="40" spans="1:11">
      <c r="A40" t="s">
        <v>369</v>
      </c>
      <c r="C40" s="49">
        <v>0</v>
      </c>
      <c r="E40" s="49">
        <v>0</v>
      </c>
      <c r="F40" s="402"/>
      <c r="G40" s="49">
        <v>0</v>
      </c>
      <c r="I40" s="49">
        <v>0</v>
      </c>
      <c r="K40" s="49">
        <v>0</v>
      </c>
    </row>
    <row r="41" spans="1:11" ht="13.5" thickBot="1">
      <c r="A41" t="s">
        <v>370</v>
      </c>
      <c r="C41" s="389">
        <f>SUM(C39:C40)</f>
        <v>0</v>
      </c>
      <c r="E41" s="389">
        <f>SUM(E39:E40)</f>
        <v>0</v>
      </c>
      <c r="F41" s="402"/>
      <c r="G41" s="389">
        <f>SUM(G39:G40)</f>
        <v>0</v>
      </c>
      <c r="I41" s="389">
        <f>SUM(I39:I40)</f>
        <v>0</v>
      </c>
      <c r="K41" s="389">
        <f>SUM(K39:K40)</f>
        <v>0</v>
      </c>
    </row>
    <row r="42" spans="1:11" ht="13.5" thickBot="1">
      <c r="A42" s="459" t="s">
        <v>372</v>
      </c>
      <c r="B42" s="407" t="s">
        <v>381</v>
      </c>
      <c r="C42" s="399">
        <f>(C41/C14)*365</f>
        <v>0</v>
      </c>
      <c r="E42" s="399">
        <f>(E41/E14)*365</f>
        <v>0</v>
      </c>
      <c r="F42" s="401"/>
      <c r="G42" s="399">
        <f>(G41/G14)*365</f>
        <v>0</v>
      </c>
      <c r="I42" s="399">
        <f>(I41/I14)*365</f>
        <v>0</v>
      </c>
      <c r="K42" s="399">
        <f>(K41/K14)*365</f>
        <v>0</v>
      </c>
    </row>
    <row r="43" spans="1:11">
      <c r="B43" s="1"/>
      <c r="E43" s="49"/>
      <c r="F43" s="402"/>
      <c r="G43" s="49"/>
      <c r="I43" s="49"/>
      <c r="K43" s="49"/>
    </row>
    <row r="44" spans="1:11" ht="13.5" thickBot="1">
      <c r="A44" t="s">
        <v>371</v>
      </c>
      <c r="B44" s="1"/>
      <c r="C44" s="49">
        <v>0</v>
      </c>
      <c r="E44" s="49">
        <v>0</v>
      </c>
      <c r="F44" s="402"/>
      <c r="G44" s="49">
        <v>0</v>
      </c>
      <c r="I44" s="49">
        <v>0</v>
      </c>
      <c r="K44" s="49">
        <v>0</v>
      </c>
    </row>
    <row r="45" spans="1:11" ht="13.5" thickBot="1">
      <c r="A45" s="459" t="s">
        <v>377</v>
      </c>
      <c r="B45" s="407" t="s">
        <v>381</v>
      </c>
      <c r="C45" s="399">
        <f>(C44/((1+C36)*C8))*365</f>
        <v>0</v>
      </c>
      <c r="E45" s="399">
        <f>(E44/((1+E36)*E8))*365</f>
        <v>0</v>
      </c>
      <c r="F45" s="401"/>
      <c r="G45" s="399">
        <f>(G44/((1+G36)*G8))*365</f>
        <v>0</v>
      </c>
      <c r="I45" s="399">
        <f>(I44/((1+I36)*I8))*365</f>
        <v>0</v>
      </c>
      <c r="K45" s="399">
        <f>(K44/((1+K36)*K8))*365</f>
        <v>0</v>
      </c>
    </row>
    <row r="46" spans="1:11">
      <c r="B46" s="1"/>
      <c r="E46" s="49"/>
      <c r="F46" s="402"/>
      <c r="G46" s="49"/>
      <c r="I46" s="49"/>
      <c r="K46" s="49"/>
    </row>
    <row r="47" spans="1:11" ht="13.5" thickBot="1">
      <c r="A47" t="s">
        <v>378</v>
      </c>
      <c r="B47" s="1"/>
      <c r="C47" s="49">
        <v>0</v>
      </c>
      <c r="E47" s="49">
        <v>0</v>
      </c>
      <c r="F47" s="402"/>
      <c r="G47" s="49">
        <v>0</v>
      </c>
      <c r="I47" s="49">
        <v>0</v>
      </c>
      <c r="K47" s="49">
        <v>0</v>
      </c>
    </row>
    <row r="48" spans="1:11" ht="13.5" thickBot="1">
      <c r="A48" s="459" t="s">
        <v>379</v>
      </c>
      <c r="B48" s="407" t="s">
        <v>381</v>
      </c>
      <c r="C48" s="399">
        <f>(C47/(C14*1.196))*365</f>
        <v>0</v>
      </c>
      <c r="E48" s="399">
        <f>(E47/(E14*1.196))*365</f>
        <v>0</v>
      </c>
      <c r="F48" s="401"/>
      <c r="G48" s="399">
        <f>(G47/(G14*1.196))*365</f>
        <v>0</v>
      </c>
      <c r="I48" s="399">
        <f>(I47/(I14*1.196))*365</f>
        <v>0</v>
      </c>
      <c r="K48" s="399">
        <f>(K47/(K14*1.196))*365</f>
        <v>0</v>
      </c>
    </row>
    <row r="49" spans="6:6">
      <c r="F49" s="406"/>
    </row>
    <row r="50" spans="6:6">
      <c r="F50" s="406"/>
    </row>
    <row r="51" spans="6:6">
      <c r="F51" s="406"/>
    </row>
    <row r="52" spans="6:6">
      <c r="F52" s="406"/>
    </row>
    <row r="53" spans="6:6">
      <c r="F53" s="406"/>
    </row>
    <row r="54" spans="6:6">
      <c r="F54" s="406"/>
    </row>
    <row r="55" spans="6:6">
      <c r="F55" s="406"/>
    </row>
  </sheetData>
  <mergeCells count="1">
    <mergeCell ref="A1:C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2" orientation="portrait"/>
  <headerFooter alignWithMargins="0">
    <oddHeader>&amp;R5,0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O27"/>
  <sheetViews>
    <sheetView showGridLines="0" topLeftCell="A3" zoomScale="75" zoomScaleNormal="75" workbookViewId="0">
      <selection activeCell="B30" sqref="B30"/>
    </sheetView>
  </sheetViews>
  <sheetFormatPr baseColWidth="10" defaultRowHeight="15"/>
  <cols>
    <col min="1" max="1" width="6.7109375" style="3" customWidth="1"/>
    <col min="2" max="2" width="47.7109375" style="4" customWidth="1"/>
    <col min="3" max="3" width="13.7109375" style="36" customWidth="1"/>
    <col min="4" max="4" width="13.28515625" style="3" hidden="1" customWidth="1"/>
    <col min="5" max="5" width="14" style="3" hidden="1" customWidth="1"/>
    <col min="6" max="6" width="2.42578125" style="3" customWidth="1"/>
    <col min="7" max="7" width="11.42578125" style="3"/>
    <col min="8" max="8" width="49.7109375" style="3" bestFit="1" customWidth="1"/>
    <col min="9" max="9" width="14.85546875" style="3" bestFit="1" customWidth="1"/>
    <col min="10" max="16384" width="11.42578125" style="3"/>
  </cols>
  <sheetData>
    <row r="1" spans="1:15" ht="22.5">
      <c r="A1" s="792" t="s">
        <v>384</v>
      </c>
      <c r="B1" s="793"/>
      <c r="C1" s="794"/>
      <c r="G1" s="792" t="s">
        <v>392</v>
      </c>
      <c r="H1" s="793"/>
      <c r="I1" s="794"/>
    </row>
    <row r="2" spans="1:15" ht="16.5">
      <c r="A2" s="78"/>
      <c r="B2" s="79"/>
      <c r="C2" s="80"/>
      <c r="G2" s="78"/>
      <c r="H2" s="79"/>
      <c r="I2" s="89"/>
    </row>
    <row r="3" spans="1:15" ht="22.5">
      <c r="A3" s="795" t="s">
        <v>498</v>
      </c>
      <c r="B3" s="795"/>
      <c r="C3" s="795"/>
      <c r="D3" s="795"/>
      <c r="E3" s="795"/>
      <c r="F3" s="795"/>
      <c r="G3" s="795"/>
      <c r="H3" s="795"/>
      <c r="I3" s="795"/>
      <c r="L3" s="410"/>
    </row>
    <row r="4" spans="1:15" ht="16.5">
      <c r="A4" s="78"/>
      <c r="B4" s="79"/>
      <c r="C4" s="80"/>
      <c r="G4" s="78"/>
      <c r="H4" s="79"/>
      <c r="I4" s="89"/>
    </row>
    <row r="5" spans="1:15" ht="35.25" customHeight="1" thickBot="1">
      <c r="A5" s="796" t="s">
        <v>1</v>
      </c>
      <c r="B5" s="796"/>
      <c r="C5" s="81" t="s">
        <v>247</v>
      </c>
      <c r="D5" s="81" t="s">
        <v>65</v>
      </c>
      <c r="E5" s="81" t="s">
        <v>51</v>
      </c>
      <c r="G5" s="797" t="s">
        <v>38</v>
      </c>
      <c r="H5" s="798"/>
      <c r="I5" s="90" t="s">
        <v>248</v>
      </c>
    </row>
    <row r="6" spans="1:15" s="5" customFormat="1" ht="22.5" customHeight="1" thickBot="1">
      <c r="A6" s="780" t="s">
        <v>2</v>
      </c>
      <c r="B6" s="84" t="s">
        <v>189</v>
      </c>
      <c r="C6" s="377"/>
      <c r="D6" s="83" t="e">
        <f>'1.1 Détails Investissements'!#REF!</f>
        <v>#REF!</v>
      </c>
      <c r="E6" s="83" t="e">
        <f>'1.1 Détails Investissements'!#REF!</f>
        <v>#REF!</v>
      </c>
      <c r="G6" s="783" t="s">
        <v>39</v>
      </c>
      <c r="H6" s="84" t="s">
        <v>40</v>
      </c>
      <c r="I6" s="519"/>
      <c r="J6" s="363"/>
      <c r="K6" s="364" t="s">
        <v>328</v>
      </c>
      <c r="L6" s="364"/>
      <c r="M6" s="616"/>
      <c r="N6" s="365" t="s">
        <v>329</v>
      </c>
      <c r="O6" s="479"/>
    </row>
    <row r="7" spans="1:15" s="5" customFormat="1" ht="22.5" customHeight="1" thickBot="1">
      <c r="A7" s="781"/>
      <c r="B7" s="84" t="s">
        <v>3</v>
      </c>
      <c r="C7" s="377"/>
      <c r="D7" s="85">
        <f>'1.1 Détails Investissements'!E5</f>
        <v>0</v>
      </c>
      <c r="E7" s="85" t="e">
        <f>'1.1 Détails Investissements'!#REF!</f>
        <v>#REF!</v>
      </c>
      <c r="G7" s="783"/>
      <c r="H7" s="84" t="s">
        <v>41</v>
      </c>
      <c r="I7" s="377"/>
      <c r="J7" s="364"/>
      <c r="K7" s="364" t="s">
        <v>328</v>
      </c>
      <c r="L7" s="364"/>
      <c r="M7" s="616"/>
      <c r="N7" s="365" t="s">
        <v>329</v>
      </c>
      <c r="O7" s="479"/>
    </row>
    <row r="8" spans="1:15" s="5" customFormat="1" ht="22.5" customHeight="1">
      <c r="A8" s="781"/>
      <c r="B8" s="84" t="s">
        <v>4</v>
      </c>
      <c r="C8" s="377"/>
      <c r="D8" s="85">
        <f>'1.1 Détails Investissements'!E10</f>
        <v>0</v>
      </c>
      <c r="E8" s="85" t="e">
        <f>'1.1 Détails Investissements'!#REF!</f>
        <v>#REF!</v>
      </c>
      <c r="G8" s="783"/>
      <c r="H8" s="520" t="s">
        <v>502</v>
      </c>
      <c r="I8" s="519"/>
      <c r="J8" s="12"/>
      <c r="K8" s="12"/>
      <c r="L8" s="12"/>
      <c r="M8" s="12"/>
      <c r="N8" s="12"/>
      <c r="O8" s="12"/>
    </row>
    <row r="9" spans="1:15" s="5" customFormat="1" ht="22.5" customHeight="1">
      <c r="A9" s="781"/>
      <c r="B9" s="84" t="s">
        <v>5</v>
      </c>
      <c r="C9" s="377"/>
      <c r="D9" s="85">
        <f>'1.1 Détails Investissements'!E12</f>
        <v>0</v>
      </c>
      <c r="E9" s="85" t="e">
        <f>'1.1 Détails Investissements'!#REF!</f>
        <v>#REF!</v>
      </c>
      <c r="G9" s="783"/>
      <c r="H9" s="520" t="s">
        <v>470</v>
      </c>
      <c r="I9" s="519"/>
      <c r="J9" s="12"/>
      <c r="K9" s="12"/>
      <c r="L9" s="12"/>
      <c r="M9" s="12"/>
      <c r="N9" s="12"/>
      <c r="O9" s="12"/>
    </row>
    <row r="10" spans="1:15" s="5" customFormat="1" ht="22.5" customHeight="1">
      <c r="A10" s="781"/>
      <c r="B10" s="86" t="s">
        <v>6</v>
      </c>
      <c r="C10" s="377"/>
      <c r="D10" s="85">
        <f>'1.1 Détails Investissements'!E14</f>
        <v>0</v>
      </c>
      <c r="E10" s="85" t="e">
        <f>'1.1 Détails Investissements'!#REF!</f>
        <v>#REF!</v>
      </c>
      <c r="G10" s="783"/>
      <c r="H10" s="520"/>
      <c r="I10" s="519"/>
      <c r="J10" s="12"/>
      <c r="K10" s="12"/>
      <c r="L10" s="12"/>
      <c r="M10" s="12"/>
      <c r="N10" s="12"/>
      <c r="O10" s="12"/>
    </row>
    <row r="11" spans="1:15" s="5" customFormat="1" ht="22.5" customHeight="1" thickBot="1">
      <c r="A11" s="781"/>
      <c r="B11" s="86" t="s">
        <v>7</v>
      </c>
      <c r="C11" s="377"/>
      <c r="D11" s="85">
        <f>'1.1 Détails Investissements'!E16</f>
        <v>0</v>
      </c>
      <c r="E11" s="85" t="e">
        <f>'1.1 Détails Investissements'!#REF!</f>
        <v>#REF!</v>
      </c>
      <c r="G11" s="783"/>
      <c r="H11" s="520"/>
      <c r="I11" s="519"/>
      <c r="J11" s="12"/>
      <c r="K11" s="12"/>
      <c r="L11" s="12"/>
      <c r="M11" s="12"/>
      <c r="N11" s="12"/>
      <c r="O11" s="12"/>
    </row>
    <row r="12" spans="1:15" s="5" customFormat="1" ht="22.5" customHeight="1" thickBot="1">
      <c r="A12" s="781"/>
      <c r="B12" s="84" t="s">
        <v>8</v>
      </c>
      <c r="C12" s="377"/>
      <c r="D12" s="85">
        <f>'1.1 Détails Investissements'!E30</f>
        <v>0</v>
      </c>
      <c r="E12" s="85" t="e">
        <f>'1.1 Détails Investissements'!D30+'1.1 Détails Investissements'!#REF!</f>
        <v>#REF!</v>
      </c>
      <c r="F12" s="43"/>
      <c r="G12" s="784" t="s">
        <v>11</v>
      </c>
      <c r="H12" s="784"/>
      <c r="I12" s="300">
        <f>SUM(I6:I9)</f>
        <v>0</v>
      </c>
      <c r="J12" s="474" t="e">
        <f>(I12+I16)/I26</f>
        <v>#DIV/0!</v>
      </c>
      <c r="K12" s="372" t="s">
        <v>256</v>
      </c>
      <c r="L12" s="373"/>
      <c r="M12" s="374"/>
    </row>
    <row r="13" spans="1:15" s="5" customFormat="1" ht="22.5" customHeight="1">
      <c r="A13" s="781"/>
      <c r="B13" s="86" t="s">
        <v>9</v>
      </c>
      <c r="C13" s="377"/>
      <c r="D13" s="85">
        <f>'1.1 Détails Investissements'!E40</f>
        <v>0</v>
      </c>
      <c r="E13" s="85" t="e">
        <f>'1.1 Détails Investissements'!#REF!</f>
        <v>#REF!</v>
      </c>
      <c r="G13" s="785" t="s">
        <v>42</v>
      </c>
      <c r="H13" s="84" t="s">
        <v>275</v>
      </c>
      <c r="I13" s="85">
        <f>C26-I12-I14-I15-I16-I25</f>
        <v>0</v>
      </c>
      <c r="J13" s="475">
        <f>IF(J14&gt;0,I13-J14,0)</f>
        <v>0</v>
      </c>
      <c r="K13" s="472" t="s">
        <v>450</v>
      </c>
      <c r="L13" s="472"/>
      <c r="M13" s="473"/>
      <c r="N13" s="12"/>
      <c r="O13" s="12"/>
    </row>
    <row r="14" spans="1:15" s="5" customFormat="1" ht="22.5" customHeight="1">
      <c r="A14" s="781"/>
      <c r="B14" s="84" t="s">
        <v>10</v>
      </c>
      <c r="C14" s="377"/>
      <c r="D14" s="85">
        <f>'1.1 Détails Investissements'!E44</f>
        <v>0</v>
      </c>
      <c r="E14" s="85" t="e">
        <f>'1.1 Détails Investissements'!#REF!</f>
        <v>#REF!</v>
      </c>
      <c r="G14" s="786"/>
      <c r="H14" s="520" t="s">
        <v>246</v>
      </c>
      <c r="I14" s="519"/>
      <c r="J14" s="475">
        <f>IF(I26&gt;45000,0,IF(I13/3&lt;2000,0,IF(I13/3&lt;7000,I13/3,7000)))</f>
        <v>0</v>
      </c>
      <c r="K14" s="472" t="s">
        <v>465</v>
      </c>
      <c r="L14" s="472"/>
      <c r="M14" s="125" t="s">
        <v>451</v>
      </c>
      <c r="N14" s="12"/>
      <c r="O14" s="12"/>
    </row>
    <row r="15" spans="1:15" s="5" customFormat="1" ht="22.5" customHeight="1" thickBot="1">
      <c r="A15" s="781"/>
      <c r="B15" s="84"/>
      <c r="C15" s="87"/>
      <c r="D15" s="85">
        <f>'1.1 Détails Investissements'!E53</f>
        <v>0</v>
      </c>
      <c r="E15" s="85" t="e">
        <f>'1.1 Détails Investissements'!#REF!</f>
        <v>#REF!</v>
      </c>
      <c r="G15" s="786"/>
      <c r="H15" s="520" t="s">
        <v>494</v>
      </c>
      <c r="I15" s="519"/>
      <c r="J15" s="12"/>
      <c r="K15" s="12"/>
      <c r="L15" s="12"/>
      <c r="M15" s="12"/>
      <c r="N15" s="12"/>
      <c r="O15" s="12"/>
    </row>
    <row r="16" spans="1:15" s="5" customFormat="1" ht="22.5" customHeight="1" thickBot="1">
      <c r="A16" s="782"/>
      <c r="B16" s="84" t="s">
        <v>190</v>
      </c>
      <c r="C16" s="377"/>
      <c r="D16" s="87">
        <v>0.01</v>
      </c>
      <c r="E16" s="87">
        <v>0.01</v>
      </c>
      <c r="G16" s="786"/>
      <c r="H16" s="520" t="s">
        <v>43</v>
      </c>
      <c r="I16" s="519"/>
      <c r="J16" s="363"/>
      <c r="K16" s="364" t="s">
        <v>328</v>
      </c>
      <c r="L16" s="364"/>
      <c r="M16" s="616"/>
      <c r="N16" s="365" t="s">
        <v>329</v>
      </c>
      <c r="O16" s="479"/>
    </row>
    <row r="17" spans="1:15" s="5" customFormat="1" ht="22.5" customHeight="1">
      <c r="A17" s="788" t="s">
        <v>11</v>
      </c>
      <c r="B17" s="789"/>
      <c r="C17" s="88">
        <f>SUM(C6:C16)</f>
        <v>0</v>
      </c>
      <c r="D17" s="85">
        <f>'1.1 Détails Investissements'!E60</f>
        <v>0</v>
      </c>
      <c r="E17" s="85" t="e">
        <f>'1.1 Détails Investissements'!#REF!</f>
        <v>#REF!</v>
      </c>
      <c r="G17" s="786"/>
      <c r="H17" s="520"/>
      <c r="I17" s="519"/>
      <c r="J17" s="12"/>
      <c r="K17" s="12"/>
      <c r="L17" s="12"/>
      <c r="M17" s="12"/>
      <c r="N17" s="12"/>
      <c r="O17" s="12"/>
    </row>
    <row r="18" spans="1:15" s="5" customFormat="1" ht="22.5" customHeight="1">
      <c r="A18" s="780" t="s">
        <v>12</v>
      </c>
      <c r="B18" s="84" t="s">
        <v>338</v>
      </c>
      <c r="C18" s="377"/>
      <c r="D18" s="88" t="e">
        <f>SUM(D6:D17)</f>
        <v>#REF!</v>
      </c>
      <c r="E18" s="88" t="e">
        <f>SUM(E6:E17)</f>
        <v>#REF!</v>
      </c>
      <c r="G18" s="787"/>
      <c r="H18" s="520"/>
      <c r="I18" s="519"/>
    </row>
    <row r="19" spans="1:15" s="5" customFormat="1" ht="22.5" customHeight="1">
      <c r="A19" s="781"/>
      <c r="B19" s="84" t="s">
        <v>339</v>
      </c>
      <c r="C19" s="377"/>
      <c r="D19" s="377">
        <v>0</v>
      </c>
      <c r="E19" s="377">
        <v>0</v>
      </c>
      <c r="G19" s="790" t="s">
        <v>13</v>
      </c>
      <c r="H19" s="791"/>
      <c r="I19" s="88">
        <f>SUM(I13:I17)</f>
        <v>0</v>
      </c>
      <c r="J19" s="12"/>
      <c r="K19" s="12"/>
      <c r="L19" s="12"/>
      <c r="M19" s="12"/>
      <c r="N19" s="12"/>
      <c r="O19" s="12"/>
    </row>
    <row r="20" spans="1:15" s="5" customFormat="1" ht="22.5" customHeight="1">
      <c r="A20" s="781"/>
      <c r="B20" s="84"/>
      <c r="C20" s="87"/>
      <c r="D20" s="377">
        <v>0</v>
      </c>
      <c r="E20" s="377">
        <v>0</v>
      </c>
      <c r="G20" s="785" t="s">
        <v>44</v>
      </c>
      <c r="H20" s="520" t="s">
        <v>480</v>
      </c>
      <c r="I20" s="519"/>
      <c r="J20" s="12"/>
      <c r="K20" s="12"/>
      <c r="L20" s="12"/>
      <c r="M20" s="12"/>
      <c r="N20" s="12"/>
      <c r="O20" s="12"/>
    </row>
    <row r="21" spans="1:15" s="5" customFormat="1" ht="22.5" customHeight="1">
      <c r="A21" s="781"/>
      <c r="B21" s="104" t="s">
        <v>235</v>
      </c>
      <c r="C21" s="85">
        <f>(C6+C9+C10+C11+C12+C14+C13)*0.196</f>
        <v>0</v>
      </c>
      <c r="D21" s="377">
        <v>0</v>
      </c>
      <c r="E21" s="377">
        <v>0</v>
      </c>
      <c r="G21" s="786"/>
      <c r="H21" s="520" t="s">
        <v>45</v>
      </c>
      <c r="I21" s="519"/>
      <c r="K21" s="12"/>
      <c r="L21" s="12"/>
      <c r="M21" s="12"/>
      <c r="N21" s="12"/>
      <c r="O21" s="12"/>
    </row>
    <row r="22" spans="1:15" s="5" customFormat="1" ht="22.5" customHeight="1">
      <c r="A22" s="781"/>
      <c r="B22" s="104" t="s">
        <v>234</v>
      </c>
      <c r="C22" s="85">
        <f>(C18+C19)*0.196</f>
        <v>0</v>
      </c>
      <c r="D22" s="377">
        <v>0</v>
      </c>
      <c r="E22" s="377">
        <v>0</v>
      </c>
      <c r="G22" s="786"/>
      <c r="H22" s="520" t="s">
        <v>472</v>
      </c>
      <c r="I22" s="519"/>
      <c r="J22" s="12"/>
      <c r="K22" s="12"/>
      <c r="L22" s="12"/>
      <c r="M22" s="12"/>
      <c r="N22" s="12"/>
      <c r="O22" s="12"/>
    </row>
    <row r="23" spans="1:15" s="5" customFormat="1" ht="22.5" customHeight="1">
      <c r="A23" s="781"/>
      <c r="B23" s="84" t="s">
        <v>341</v>
      </c>
      <c r="C23" s="377"/>
      <c r="D23" s="377">
        <v>0</v>
      </c>
      <c r="E23" s="377">
        <v>0</v>
      </c>
      <c r="G23" s="786"/>
      <c r="H23" s="520" t="s">
        <v>0</v>
      </c>
      <c r="I23" s="519"/>
      <c r="J23" s="487" t="s">
        <v>471</v>
      </c>
      <c r="K23" s="12"/>
      <c r="L23" s="12"/>
      <c r="M23" s="12"/>
      <c r="N23" s="12"/>
      <c r="O23" s="12"/>
    </row>
    <row r="24" spans="1:15" s="5" customFormat="1" ht="25.5" customHeight="1">
      <c r="A24" s="782"/>
      <c r="B24" s="84"/>
      <c r="C24" s="377"/>
      <c r="D24" s="409"/>
      <c r="E24" s="409"/>
      <c r="G24" s="787"/>
      <c r="H24" s="521"/>
      <c r="I24" s="519"/>
    </row>
    <row r="25" spans="1:15" s="5" customFormat="1" ht="22.5" customHeight="1">
      <c r="A25" s="799" t="s">
        <v>13</v>
      </c>
      <c r="B25" s="789"/>
      <c r="C25" s="88">
        <f>SUM(C18:C24)</f>
        <v>0</v>
      </c>
      <c r="D25" s="377">
        <v>0</v>
      </c>
      <c r="E25" s="377">
        <v>0</v>
      </c>
      <c r="G25" s="790" t="s">
        <v>46</v>
      </c>
      <c r="H25" s="791"/>
      <c r="I25" s="88">
        <f>SUM(I20:I24)</f>
        <v>0</v>
      </c>
    </row>
    <row r="26" spans="1:15" s="5" customFormat="1" ht="22.5" customHeight="1">
      <c r="A26" s="800" t="s">
        <v>14</v>
      </c>
      <c r="B26" s="801"/>
      <c r="C26" s="245">
        <f>C17+C25</f>
        <v>0</v>
      </c>
      <c r="D26" s="88">
        <f>SUM(D19:D25)</f>
        <v>0</v>
      </c>
      <c r="E26" s="88">
        <f>SUM(E19:E25)</f>
        <v>0</v>
      </c>
      <c r="G26" s="802" t="s">
        <v>47</v>
      </c>
      <c r="H26" s="803"/>
      <c r="I26" s="245">
        <f>I12+I19+I25</f>
        <v>0</v>
      </c>
      <c r="J26" s="13"/>
      <c r="K26" s="13"/>
      <c r="L26" s="13"/>
      <c r="M26" s="13"/>
      <c r="N26" s="13"/>
      <c r="O26" s="13"/>
    </row>
    <row r="27" spans="1:15" ht="19.5">
      <c r="D27" s="486"/>
      <c r="E27" s="486"/>
    </row>
  </sheetData>
  <sheetProtection formatCells="0" formatColumns="0"/>
  <mergeCells count="17">
    <mergeCell ref="A25:B25"/>
    <mergeCell ref="G25:H25"/>
    <mergeCell ref="A26:B26"/>
    <mergeCell ref="G26:H26"/>
    <mergeCell ref="A1:C1"/>
    <mergeCell ref="G1:I1"/>
    <mergeCell ref="A3:I3"/>
    <mergeCell ref="A5:B5"/>
    <mergeCell ref="G5:H5"/>
    <mergeCell ref="A6:A16"/>
    <mergeCell ref="G6:G11"/>
    <mergeCell ref="G12:H12"/>
    <mergeCell ref="G13:G18"/>
    <mergeCell ref="A17:B17"/>
    <mergeCell ref="A18:A24"/>
    <mergeCell ref="G19:H19"/>
    <mergeCell ref="G20:G24"/>
  </mergeCells>
  <phoneticPr fontId="51" type="noConversion"/>
  <printOptions horizontalCentered="1"/>
  <pageMargins left="0.25" right="0.25" top="0.75" bottom="0.75" header="0.3" footer="0.3"/>
  <pageSetup paperSize="9" scale="75" orientation="landscape" horizontalDpi="4294967294" verticalDpi="4294967294"/>
  <headerFooter alignWithMargins="0">
    <oddHeader>&amp;A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Feuil25"/>
  <dimension ref="A1:H96"/>
  <sheetViews>
    <sheetView zoomScale="85" workbookViewId="0">
      <selection activeCell="B17" sqref="B17"/>
    </sheetView>
  </sheetViews>
  <sheetFormatPr baseColWidth="10" defaultRowHeight="15.75"/>
  <cols>
    <col min="1" max="1" width="38.85546875" style="8" customWidth="1"/>
    <col min="2" max="2" width="13" style="48" customWidth="1"/>
    <col min="3" max="3" width="8.7109375" style="8" bestFit="1" customWidth="1"/>
    <col min="4" max="4" width="12.85546875" style="48" customWidth="1"/>
    <col min="5" max="5" width="8.42578125" style="8" bestFit="1" customWidth="1"/>
    <col min="6" max="6" width="12.7109375" style="182" customWidth="1"/>
    <col min="7" max="7" width="8.42578125" style="8" bestFit="1" customWidth="1"/>
    <col min="8" max="16384" width="11.42578125" style="8"/>
  </cols>
  <sheetData>
    <row r="1" spans="1:7" ht="25.5" thickBot="1">
      <c r="A1" s="875" t="s">
        <v>138</v>
      </c>
      <c r="B1" s="876"/>
      <c r="C1" s="876"/>
      <c r="D1" s="876"/>
      <c r="E1" s="876"/>
      <c r="F1" s="876"/>
      <c r="G1" s="877"/>
    </row>
    <row r="2" spans="1:7" ht="19.5">
      <c r="A2" s="55"/>
      <c r="B2" s="157"/>
      <c r="C2" s="55"/>
      <c r="D2" s="157"/>
      <c r="E2" s="55"/>
      <c r="F2" s="183"/>
      <c r="G2" s="55"/>
    </row>
    <row r="3" spans="1:7" ht="15" customHeight="1">
      <c r="A3" s="820" t="s">
        <v>139</v>
      </c>
      <c r="B3" s="184" t="s">
        <v>140</v>
      </c>
      <c r="C3" s="185"/>
      <c r="D3" s="184" t="s">
        <v>140</v>
      </c>
      <c r="E3" s="185"/>
      <c r="F3" s="186" t="s">
        <v>140</v>
      </c>
      <c r="G3" s="185"/>
    </row>
    <row r="4" spans="1:7" ht="15" customHeight="1">
      <c r="A4" s="878"/>
      <c r="B4" s="187" t="s">
        <v>141</v>
      </c>
      <c r="C4" s="188" t="s">
        <v>142</v>
      </c>
      <c r="D4" s="187" t="s">
        <v>141</v>
      </c>
      <c r="E4" s="188" t="s">
        <v>142</v>
      </c>
      <c r="F4" s="189" t="s">
        <v>141</v>
      </c>
      <c r="G4" s="188" t="s">
        <v>142</v>
      </c>
    </row>
    <row r="5" spans="1:7" s="33" customFormat="1" ht="15" customHeight="1">
      <c r="A5" s="190" t="s">
        <v>143</v>
      </c>
      <c r="B5" s="191"/>
      <c r="C5" s="192">
        <v>1</v>
      </c>
      <c r="D5" s="191"/>
      <c r="E5" s="192">
        <v>1</v>
      </c>
      <c r="F5" s="193"/>
      <c r="G5" s="192">
        <v>1</v>
      </c>
    </row>
    <row r="6" spans="1:7" ht="15" customHeight="1">
      <c r="A6" s="194"/>
      <c r="B6" s="195"/>
      <c r="C6" s="194"/>
      <c r="D6" s="195"/>
      <c r="E6" s="194"/>
      <c r="F6" s="196"/>
      <c r="G6" s="194"/>
    </row>
    <row r="7" spans="1:7" ht="15" customHeight="1">
      <c r="A7" s="197" t="s">
        <v>144</v>
      </c>
      <c r="B7" s="198">
        <f>'3.0 Compte de résultat'!D6</f>
        <v>0</v>
      </c>
      <c r="C7" s="197"/>
      <c r="D7" s="198"/>
      <c r="E7" s="197"/>
      <c r="F7" s="199"/>
      <c r="G7" s="197"/>
    </row>
    <row r="8" spans="1:7" ht="15" customHeight="1">
      <c r="A8" s="143" t="s">
        <v>145</v>
      </c>
      <c r="B8" s="147" t="e">
        <f>'3.0 Compte de résultat'!#REF!</f>
        <v>#REF!</v>
      </c>
      <c r="C8" s="143"/>
      <c r="D8" s="147"/>
      <c r="E8" s="143"/>
      <c r="F8" s="200"/>
      <c r="G8" s="143"/>
    </row>
    <row r="9" spans="1:7" s="33" customFormat="1" ht="15" customHeight="1">
      <c r="A9" s="201" t="s">
        <v>219</v>
      </c>
      <c r="B9" s="202" t="e">
        <f>SUM(B7:B8)</f>
        <v>#REF!</v>
      </c>
      <c r="C9" s="201"/>
      <c r="D9" s="202">
        <f>D7+D8</f>
        <v>0</v>
      </c>
      <c r="E9" s="201"/>
      <c r="F9" s="203">
        <f>F7+F8</f>
        <v>0</v>
      </c>
      <c r="G9" s="201"/>
    </row>
    <row r="10" spans="1:7" ht="15" customHeight="1">
      <c r="A10" s="197" t="s">
        <v>146</v>
      </c>
      <c r="B10" s="198">
        <f>'3.0 Compte de résultat'!D4+'3.0 Compte de résultat'!D5</f>
        <v>0</v>
      </c>
      <c r="C10" s="197"/>
      <c r="D10" s="198"/>
      <c r="E10" s="197"/>
      <c r="F10" s="199"/>
      <c r="G10" s="197"/>
    </row>
    <row r="11" spans="1:7" ht="15" customHeight="1">
      <c r="A11" s="143" t="s">
        <v>147</v>
      </c>
      <c r="B11" s="147"/>
      <c r="C11" s="143"/>
      <c r="D11" s="147"/>
      <c r="E11" s="143"/>
      <c r="F11" s="200"/>
      <c r="G11" s="143"/>
    </row>
    <row r="12" spans="1:7" ht="15" customHeight="1">
      <c r="A12" s="143" t="s">
        <v>148</v>
      </c>
      <c r="B12" s="147"/>
      <c r="C12" s="143"/>
      <c r="D12" s="147"/>
      <c r="E12" s="143"/>
      <c r="F12" s="200"/>
      <c r="G12" s="143"/>
    </row>
    <row r="13" spans="1:7" s="33" customFormat="1" ht="15" customHeight="1">
      <c r="A13" s="204" t="s">
        <v>220</v>
      </c>
      <c r="B13" s="205">
        <f>SUM(B10:B12)</f>
        <v>0</v>
      </c>
      <c r="C13" s="204"/>
      <c r="D13" s="205">
        <f>D10+D11+D12</f>
        <v>0</v>
      </c>
      <c r="E13" s="204"/>
      <c r="F13" s="206">
        <f>F10+F11+F12</f>
        <v>0</v>
      </c>
      <c r="G13" s="204"/>
    </row>
    <row r="14" spans="1:7" ht="15" customHeight="1">
      <c r="A14" s="143" t="s">
        <v>149</v>
      </c>
      <c r="B14" s="147">
        <f>'3.0 Compte de résultat'!D11</f>
        <v>0</v>
      </c>
      <c r="C14" s="143"/>
      <c r="D14" s="147"/>
      <c r="E14" s="143"/>
      <c r="F14" s="200"/>
      <c r="G14" s="143"/>
    </row>
    <row r="15" spans="1:7" ht="15" customHeight="1">
      <c r="A15" s="143" t="s">
        <v>150</v>
      </c>
      <c r="B15" s="147">
        <f>'3.0 Compte de résultat'!D12</f>
        <v>0</v>
      </c>
      <c r="C15" s="143"/>
      <c r="D15" s="147"/>
      <c r="E15" s="143"/>
      <c r="F15" s="200"/>
      <c r="G15" s="143"/>
    </row>
    <row r="16" spans="1:7" s="33" customFormat="1" ht="15" customHeight="1">
      <c r="A16" s="204" t="s">
        <v>221</v>
      </c>
      <c r="B16" s="205">
        <f>B13-B14-B15</f>
        <v>0</v>
      </c>
      <c r="C16" s="204"/>
      <c r="D16" s="205">
        <f>D13-D14-D15</f>
        <v>0</v>
      </c>
      <c r="E16" s="204"/>
      <c r="F16" s="206">
        <f>F13-F14-F15</f>
        <v>0</v>
      </c>
      <c r="G16" s="204"/>
    </row>
    <row r="17" spans="1:8" s="33" customFormat="1" ht="15" customHeight="1">
      <c r="A17" s="201" t="s">
        <v>222</v>
      </c>
      <c r="B17" s="202" t="e">
        <f>B9+B16</f>
        <v>#REF!</v>
      </c>
      <c r="C17" s="201"/>
      <c r="D17" s="202">
        <f>D9+D16</f>
        <v>0</v>
      </c>
      <c r="E17" s="201"/>
      <c r="F17" s="203">
        <f>F9+F16</f>
        <v>0</v>
      </c>
      <c r="G17" s="201"/>
    </row>
    <row r="18" spans="1:8" ht="15" customHeight="1">
      <c r="A18" s="207" t="s">
        <v>151</v>
      </c>
      <c r="B18" s="208">
        <f>'3.0 Compte de résultat'!D14+'3.0 Compte de résultat'!D15+'3.0 Compte de résultat'!D16</f>
        <v>0</v>
      </c>
      <c r="C18" s="207"/>
      <c r="D18" s="208"/>
      <c r="E18" s="207"/>
      <c r="F18" s="209"/>
      <c r="G18" s="207"/>
    </row>
    <row r="19" spans="1:8" s="33" customFormat="1" ht="15" customHeight="1">
      <c r="A19" s="210" t="s">
        <v>223</v>
      </c>
      <c r="B19" s="191" t="e">
        <f>B9+B16-B18</f>
        <v>#REF!</v>
      </c>
      <c r="C19" s="210"/>
      <c r="D19" s="191">
        <f>D9+D16-D18</f>
        <v>0</v>
      </c>
      <c r="E19" s="210"/>
      <c r="F19" s="193">
        <f>F9+F16-F18</f>
        <v>0</v>
      </c>
      <c r="G19" s="210"/>
    </row>
    <row r="20" spans="1:8" ht="15" customHeight="1">
      <c r="A20" s="197" t="s">
        <v>152</v>
      </c>
      <c r="B20" s="198"/>
      <c r="C20" s="197"/>
      <c r="D20" s="198"/>
      <c r="E20" s="197"/>
      <c r="F20" s="199"/>
      <c r="G20" s="197"/>
    </row>
    <row r="21" spans="1:8" ht="15" customHeight="1">
      <c r="A21" s="143" t="s">
        <v>153</v>
      </c>
      <c r="B21" s="147">
        <f>'3.0 Compte de résultat'!D17</f>
        <v>0</v>
      </c>
      <c r="C21" s="143"/>
      <c r="D21" s="147"/>
      <c r="E21" s="143"/>
      <c r="F21" s="200"/>
      <c r="G21" s="143"/>
    </row>
    <row r="22" spans="1:8" ht="15" customHeight="1">
      <c r="A22" s="211" t="s">
        <v>154</v>
      </c>
      <c r="B22" s="212">
        <f>'3.0 Compte de résultat'!D18+'3.0 Compte de résultat'!D19</f>
        <v>0</v>
      </c>
      <c r="C22" s="211"/>
      <c r="D22" s="212"/>
      <c r="E22" s="211"/>
      <c r="F22" s="213"/>
      <c r="G22" s="211"/>
    </row>
    <row r="23" spans="1:8" s="33" customFormat="1" ht="51">
      <c r="A23" s="214" t="s">
        <v>224</v>
      </c>
      <c r="B23" s="205" t="e">
        <f>B19+B20-B21-B22</f>
        <v>#REF!</v>
      </c>
      <c r="C23" s="204"/>
      <c r="D23" s="205">
        <f>D19+D20-D21-D22</f>
        <v>0</v>
      </c>
      <c r="E23" s="204"/>
      <c r="F23" s="206">
        <f>F19+F20-F21-F22</f>
        <v>0</v>
      </c>
      <c r="G23" s="204"/>
    </row>
    <row r="24" spans="1:8" ht="15" customHeight="1">
      <c r="A24" s="143" t="s">
        <v>155</v>
      </c>
      <c r="B24" s="147"/>
      <c r="C24" s="143"/>
      <c r="D24" s="147"/>
      <c r="E24" s="143"/>
      <c r="F24" s="200"/>
      <c r="G24" s="143"/>
    </row>
    <row r="25" spans="1:8" ht="15" customHeight="1">
      <c r="A25" s="143" t="s">
        <v>156</v>
      </c>
      <c r="B25" s="147">
        <f>'3.0 Compte de résultat'!D21</f>
        <v>0</v>
      </c>
      <c r="C25" s="143"/>
      <c r="D25" s="147"/>
      <c r="E25" s="143"/>
      <c r="F25" s="200"/>
      <c r="G25" s="143"/>
    </row>
    <row r="26" spans="1:8" ht="15" customHeight="1">
      <c r="A26" s="143" t="s">
        <v>157</v>
      </c>
      <c r="B26" s="147"/>
      <c r="C26" s="143"/>
      <c r="D26" s="147"/>
      <c r="E26" s="143"/>
      <c r="F26" s="200"/>
      <c r="G26" s="143"/>
    </row>
    <row r="27" spans="1:8" ht="15" customHeight="1">
      <c r="A27" s="143" t="s">
        <v>158</v>
      </c>
      <c r="B27" s="147">
        <f>'3.0 Compte de résultat'!D20</f>
        <v>0</v>
      </c>
      <c r="C27" s="143"/>
      <c r="D27" s="147"/>
      <c r="E27" s="143"/>
      <c r="F27" s="200"/>
      <c r="G27" s="143"/>
    </row>
    <row r="28" spans="1:8" ht="15" customHeight="1">
      <c r="A28" s="143" t="s">
        <v>159</v>
      </c>
      <c r="B28" s="147"/>
      <c r="C28" s="143"/>
      <c r="D28" s="147"/>
      <c r="E28" s="143"/>
      <c r="F28" s="200"/>
      <c r="G28" s="143"/>
    </row>
    <row r="29" spans="1:8" s="33" customFormat="1" ht="27.75" customHeight="1">
      <c r="A29" s="214" t="s">
        <v>225</v>
      </c>
      <c r="B29" s="205" t="e">
        <f>B23+B24-B25+B26-B27-B28</f>
        <v>#REF!</v>
      </c>
      <c r="C29" s="204"/>
      <c r="D29" s="205">
        <f>D23+D24-D25+D26-D27-D28</f>
        <v>0</v>
      </c>
      <c r="E29" s="204"/>
      <c r="F29" s="206">
        <f>F23+F24-F25+F26-F27-F28</f>
        <v>0</v>
      </c>
      <c r="G29" s="204"/>
    </row>
    <row r="30" spans="1:8" ht="15" customHeight="1">
      <c r="A30" s="143" t="s">
        <v>160</v>
      </c>
      <c r="B30" s="147">
        <f>'3.0 Compte de résultat'!D24</f>
        <v>0</v>
      </c>
      <c r="C30" s="143"/>
      <c r="D30" s="147"/>
      <c r="E30" s="143"/>
      <c r="F30" s="200"/>
      <c r="G30" s="143"/>
    </row>
    <row r="31" spans="1:8" ht="15" customHeight="1">
      <c r="A31" s="143" t="s">
        <v>161</v>
      </c>
      <c r="B31" s="147">
        <f>'3.0 Compte de résultat'!D25+'3.0 Compte de résultat'!D26</f>
        <v>0</v>
      </c>
      <c r="C31" s="143"/>
      <c r="D31" s="147"/>
      <c r="E31" s="143"/>
      <c r="F31" s="200"/>
      <c r="G31" s="143"/>
    </row>
    <row r="32" spans="1:8" s="33" customFormat="1" ht="15" customHeight="1">
      <c r="A32" s="201" t="s">
        <v>226</v>
      </c>
      <c r="B32" s="202" t="e">
        <f>B29+B30-B31</f>
        <v>#REF!</v>
      </c>
      <c r="C32" s="201"/>
      <c r="D32" s="202">
        <f>D29+D30-D31</f>
        <v>0</v>
      </c>
      <c r="E32" s="201"/>
      <c r="F32" s="203">
        <f>F29+F30-F31</f>
        <v>0</v>
      </c>
      <c r="G32" s="201"/>
      <c r="H32" s="35"/>
    </row>
    <row r="33" spans="1:7" ht="15" customHeight="1">
      <c r="A33" s="197" t="s">
        <v>162</v>
      </c>
      <c r="B33" s="198">
        <f>'3.0 Compte de résultat'!D28</f>
        <v>0</v>
      </c>
      <c r="C33" s="197"/>
      <c r="D33" s="198"/>
      <c r="E33" s="197"/>
      <c r="F33" s="199"/>
      <c r="G33" s="197"/>
    </row>
    <row r="34" spans="1:7" ht="15" customHeight="1">
      <c r="A34" s="143" t="s">
        <v>163</v>
      </c>
      <c r="B34" s="147">
        <f>'3.0 Compte de résultat'!D29</f>
        <v>0</v>
      </c>
      <c r="C34" s="143"/>
      <c r="D34" s="147"/>
      <c r="E34" s="143"/>
      <c r="F34" s="200"/>
      <c r="G34" s="143"/>
    </row>
    <row r="35" spans="1:7" s="33" customFormat="1" ht="15" customHeight="1">
      <c r="A35" s="204" t="s">
        <v>227</v>
      </c>
      <c r="B35" s="205">
        <f>B33-B34</f>
        <v>0</v>
      </c>
      <c r="C35" s="204"/>
      <c r="D35" s="205">
        <f>D33-D34</f>
        <v>0</v>
      </c>
      <c r="E35" s="204"/>
      <c r="F35" s="206">
        <f>F33-F34</f>
        <v>0</v>
      </c>
      <c r="G35" s="204"/>
    </row>
    <row r="36" spans="1:7" ht="15" customHeight="1">
      <c r="A36" s="215" t="s">
        <v>164</v>
      </c>
      <c r="B36" s="216">
        <f>'3.0 Compte de résultat'!D33</f>
        <v>0</v>
      </c>
      <c r="C36" s="215"/>
      <c r="D36" s="216"/>
      <c r="E36" s="215"/>
      <c r="F36" s="217"/>
      <c r="G36" s="215"/>
    </row>
    <row r="37" spans="1:7" s="33" customFormat="1" ht="15" customHeight="1">
      <c r="A37" s="210" t="s">
        <v>228</v>
      </c>
      <c r="B37" s="191" t="e">
        <f>B32+B35-B36</f>
        <v>#REF!</v>
      </c>
      <c r="C37" s="210"/>
      <c r="D37" s="191">
        <f>D32+D35-D36</f>
        <v>0</v>
      </c>
      <c r="E37" s="210"/>
      <c r="F37" s="193">
        <f>F32+F35-F36</f>
        <v>0</v>
      </c>
      <c r="G37" s="210"/>
    </row>
    <row r="38" spans="1:7" s="33" customFormat="1" ht="15" customHeight="1">
      <c r="A38" s="218"/>
      <c r="B38" s="305"/>
      <c r="C38" s="306"/>
      <c r="D38" s="305"/>
      <c r="E38" s="306"/>
      <c r="F38" s="307"/>
      <c r="G38" s="306"/>
    </row>
    <row r="39" spans="1:7" ht="15" customHeight="1">
      <c r="A39" s="197" t="s">
        <v>165</v>
      </c>
      <c r="B39" s="219"/>
      <c r="C39" s="91"/>
      <c r="D39" s="219"/>
      <c r="E39" s="91"/>
      <c r="F39" s="196"/>
      <c r="G39" s="194"/>
    </row>
    <row r="40" spans="1:7" ht="15" customHeight="1">
      <c r="A40" s="143" t="s">
        <v>166</v>
      </c>
      <c r="B40" s="219"/>
      <c r="C40" s="91"/>
      <c r="D40" s="219"/>
      <c r="E40" s="91"/>
      <c r="F40" s="196"/>
      <c r="G40" s="194"/>
    </row>
    <row r="41" spans="1:7" ht="15" customHeight="1">
      <c r="A41" s="143" t="s">
        <v>167</v>
      </c>
      <c r="B41" s="219"/>
      <c r="C41" s="91"/>
      <c r="D41" s="219"/>
      <c r="E41" s="91"/>
      <c r="F41" s="196"/>
      <c r="G41" s="194"/>
    </row>
    <row r="42" spans="1:7" ht="15" customHeight="1">
      <c r="A42" s="143" t="s">
        <v>168</v>
      </c>
      <c r="B42" s="219"/>
      <c r="C42" s="91"/>
      <c r="D42" s="219"/>
      <c r="E42" s="91"/>
      <c r="F42" s="196"/>
      <c r="G42" s="194"/>
    </row>
    <row r="43" spans="1:7" ht="15" customHeight="1">
      <c r="A43" s="220" t="s">
        <v>169</v>
      </c>
      <c r="B43" s="219"/>
      <c r="C43" s="91"/>
      <c r="D43" s="219"/>
      <c r="E43" s="91"/>
      <c r="F43" s="196"/>
      <c r="G43" s="194"/>
    </row>
    <row r="44" spans="1:7">
      <c r="A44" s="34"/>
      <c r="B44" s="180"/>
      <c r="C44" s="34"/>
      <c r="D44" s="180"/>
      <c r="E44" s="34"/>
      <c r="F44" s="181"/>
      <c r="G44" s="34"/>
    </row>
    <row r="45" spans="1:7">
      <c r="A45" s="34"/>
      <c r="B45" s="180"/>
      <c r="C45" s="34"/>
      <c r="D45" s="180"/>
      <c r="E45" s="34"/>
      <c r="F45" s="181"/>
      <c r="G45" s="34"/>
    </row>
    <row r="46" spans="1:7">
      <c r="A46" s="34"/>
      <c r="B46" s="180"/>
      <c r="C46" s="34"/>
      <c r="D46" s="180"/>
      <c r="E46" s="34"/>
      <c r="F46" s="181"/>
      <c r="G46" s="34"/>
    </row>
    <row r="47" spans="1:7">
      <c r="A47" s="34"/>
      <c r="B47" s="180"/>
      <c r="C47" s="34"/>
      <c r="D47" s="180"/>
      <c r="E47" s="34"/>
      <c r="F47" s="181"/>
      <c r="G47" s="34"/>
    </row>
    <row r="48" spans="1:7">
      <c r="A48" s="34"/>
      <c r="B48" s="180"/>
      <c r="C48" s="34"/>
      <c r="D48" s="180"/>
      <c r="E48" s="34"/>
      <c r="F48" s="181"/>
      <c r="G48" s="34"/>
    </row>
    <row r="49" spans="1:7">
      <c r="A49" s="34"/>
      <c r="B49" s="180"/>
      <c r="C49" s="34"/>
      <c r="D49" s="180"/>
      <c r="E49" s="34"/>
      <c r="F49" s="181"/>
      <c r="G49" s="34"/>
    </row>
    <row r="50" spans="1:7">
      <c r="A50" s="34"/>
      <c r="B50" s="180"/>
      <c r="C50" s="34"/>
      <c r="D50" s="180"/>
      <c r="E50" s="34"/>
      <c r="F50" s="181"/>
      <c r="G50" s="34"/>
    </row>
    <row r="51" spans="1:7">
      <c r="A51" s="34"/>
      <c r="B51" s="180"/>
      <c r="C51" s="34"/>
      <c r="D51" s="180"/>
      <c r="E51" s="34"/>
      <c r="F51" s="181"/>
      <c r="G51" s="34"/>
    </row>
    <row r="52" spans="1:7">
      <c r="A52" s="34"/>
      <c r="B52" s="180"/>
      <c r="C52" s="34"/>
      <c r="D52" s="180"/>
      <c r="E52" s="34"/>
      <c r="F52" s="181"/>
      <c r="G52" s="34"/>
    </row>
    <row r="53" spans="1:7">
      <c r="A53" s="34"/>
      <c r="B53" s="180"/>
      <c r="C53" s="34"/>
      <c r="D53" s="180"/>
      <c r="E53" s="34"/>
      <c r="F53" s="181"/>
      <c r="G53" s="34"/>
    </row>
    <row r="54" spans="1:7">
      <c r="A54" s="34"/>
      <c r="B54" s="180"/>
      <c r="C54" s="34"/>
      <c r="D54" s="180"/>
      <c r="E54" s="34"/>
      <c r="F54" s="181"/>
      <c r="G54" s="34"/>
    </row>
    <row r="55" spans="1:7">
      <c r="A55" s="34"/>
      <c r="B55" s="180"/>
      <c r="C55" s="34"/>
      <c r="D55" s="180"/>
      <c r="E55" s="34"/>
      <c r="F55" s="181"/>
      <c r="G55" s="34"/>
    </row>
    <row r="56" spans="1:7">
      <c r="A56" s="34"/>
      <c r="B56" s="180"/>
      <c r="C56" s="34"/>
      <c r="D56" s="180"/>
      <c r="E56" s="34"/>
      <c r="F56" s="181"/>
      <c r="G56" s="34"/>
    </row>
    <row r="57" spans="1:7">
      <c r="A57" s="34"/>
      <c r="B57" s="180"/>
      <c r="C57" s="34"/>
      <c r="D57" s="180"/>
      <c r="E57" s="34"/>
      <c r="F57" s="181"/>
      <c r="G57" s="34"/>
    </row>
    <row r="58" spans="1:7">
      <c r="A58" s="34"/>
      <c r="B58" s="180"/>
      <c r="C58" s="34"/>
      <c r="D58" s="180"/>
      <c r="E58" s="34"/>
      <c r="F58" s="181"/>
      <c r="G58" s="34"/>
    </row>
    <row r="59" spans="1:7">
      <c r="A59" s="34"/>
      <c r="B59" s="180"/>
      <c r="C59" s="34"/>
      <c r="D59" s="180"/>
      <c r="E59" s="34"/>
      <c r="F59" s="181"/>
      <c r="G59" s="34"/>
    </row>
    <row r="60" spans="1:7">
      <c r="A60" s="34"/>
      <c r="B60" s="180"/>
      <c r="C60" s="34"/>
      <c r="D60" s="180"/>
      <c r="E60" s="34"/>
      <c r="F60" s="181"/>
      <c r="G60" s="34"/>
    </row>
    <row r="61" spans="1:7">
      <c r="A61" s="34"/>
      <c r="B61" s="180"/>
      <c r="C61" s="34"/>
      <c r="D61" s="180"/>
      <c r="E61" s="34"/>
      <c r="F61" s="181"/>
      <c r="G61" s="34"/>
    </row>
    <row r="62" spans="1:7">
      <c r="A62" s="34"/>
      <c r="B62" s="180"/>
      <c r="C62" s="34"/>
      <c r="D62" s="180"/>
      <c r="E62" s="34"/>
      <c r="F62" s="181"/>
      <c r="G62" s="34"/>
    </row>
    <row r="63" spans="1:7">
      <c r="A63" s="34"/>
      <c r="B63" s="180"/>
      <c r="C63" s="34"/>
      <c r="D63" s="180"/>
      <c r="E63" s="34"/>
      <c r="F63" s="181"/>
      <c r="G63" s="34"/>
    </row>
    <row r="64" spans="1:7">
      <c r="A64" s="34"/>
      <c r="B64" s="180"/>
      <c r="C64" s="34"/>
      <c r="D64" s="180"/>
      <c r="E64" s="34"/>
      <c r="F64" s="181"/>
      <c r="G64" s="34"/>
    </row>
    <row r="65" spans="1:7">
      <c r="A65" s="34"/>
      <c r="B65" s="180"/>
      <c r="C65" s="34"/>
      <c r="D65" s="180"/>
      <c r="E65" s="34"/>
      <c r="F65" s="181"/>
      <c r="G65" s="34"/>
    </row>
    <row r="66" spans="1:7">
      <c r="A66" s="34"/>
      <c r="B66" s="180"/>
      <c r="C66" s="34"/>
      <c r="D66" s="180"/>
      <c r="E66" s="34"/>
      <c r="F66" s="181"/>
      <c r="G66" s="34"/>
    </row>
    <row r="67" spans="1:7">
      <c r="A67" s="34"/>
      <c r="B67" s="180"/>
      <c r="C67" s="34"/>
      <c r="D67" s="180"/>
      <c r="E67" s="34"/>
      <c r="F67" s="181"/>
      <c r="G67" s="34"/>
    </row>
    <row r="68" spans="1:7">
      <c r="A68" s="34"/>
      <c r="B68" s="180"/>
      <c r="C68" s="34"/>
      <c r="D68" s="180"/>
      <c r="E68" s="34"/>
      <c r="F68" s="181"/>
      <c r="G68" s="34"/>
    </row>
    <row r="69" spans="1:7">
      <c r="A69" s="34"/>
      <c r="B69" s="180"/>
      <c r="C69" s="34"/>
      <c r="D69" s="180"/>
      <c r="E69" s="34"/>
      <c r="F69" s="181"/>
      <c r="G69" s="34"/>
    </row>
    <row r="70" spans="1:7">
      <c r="A70" s="34"/>
      <c r="B70" s="180"/>
      <c r="C70" s="34"/>
      <c r="D70" s="180"/>
      <c r="E70" s="34"/>
      <c r="F70" s="181"/>
      <c r="G70" s="34"/>
    </row>
    <row r="71" spans="1:7">
      <c r="A71" s="34"/>
      <c r="B71" s="180"/>
      <c r="C71" s="34"/>
      <c r="D71" s="180"/>
      <c r="E71" s="34"/>
      <c r="F71" s="181"/>
      <c r="G71" s="34"/>
    </row>
    <row r="72" spans="1:7">
      <c r="A72" s="34"/>
      <c r="B72" s="180"/>
      <c r="C72" s="34"/>
      <c r="D72" s="180"/>
      <c r="E72" s="34"/>
      <c r="F72" s="181"/>
      <c r="G72" s="34"/>
    </row>
    <row r="73" spans="1:7">
      <c r="A73" s="34"/>
      <c r="B73" s="180"/>
      <c r="C73" s="34"/>
      <c r="D73" s="180"/>
      <c r="E73" s="34"/>
      <c r="F73" s="181"/>
      <c r="G73" s="34"/>
    </row>
    <row r="74" spans="1:7">
      <c r="A74" s="34"/>
      <c r="B74" s="180"/>
      <c r="C74" s="34"/>
      <c r="D74" s="180"/>
      <c r="E74" s="34"/>
      <c r="F74" s="181"/>
      <c r="G74" s="34"/>
    </row>
    <row r="75" spans="1:7">
      <c r="A75" s="34"/>
      <c r="B75" s="180"/>
      <c r="C75" s="34"/>
      <c r="D75" s="180"/>
      <c r="E75" s="34"/>
      <c r="F75" s="181"/>
      <c r="G75" s="34"/>
    </row>
    <row r="76" spans="1:7">
      <c r="A76" s="34"/>
      <c r="B76" s="180"/>
      <c r="C76" s="34"/>
      <c r="D76" s="180"/>
      <c r="E76" s="34"/>
      <c r="F76" s="181"/>
      <c r="G76" s="34"/>
    </row>
    <row r="77" spans="1:7">
      <c r="A77" s="34"/>
      <c r="B77" s="180"/>
      <c r="C77" s="34"/>
      <c r="D77" s="180"/>
      <c r="E77" s="34"/>
      <c r="F77" s="181"/>
      <c r="G77" s="34"/>
    </row>
    <row r="78" spans="1:7">
      <c r="B78" s="180"/>
      <c r="C78" s="34"/>
      <c r="D78" s="180"/>
      <c r="E78" s="34"/>
      <c r="F78" s="181"/>
      <c r="G78" s="34"/>
    </row>
    <row r="79" spans="1:7">
      <c r="B79" s="180"/>
      <c r="C79" s="34"/>
      <c r="D79" s="180"/>
      <c r="E79" s="34"/>
      <c r="F79" s="181"/>
      <c r="G79" s="34"/>
    </row>
    <row r="80" spans="1:7">
      <c r="B80" s="180"/>
      <c r="C80" s="34"/>
      <c r="D80" s="180"/>
      <c r="E80" s="34"/>
      <c r="F80" s="181"/>
      <c r="G80" s="34"/>
    </row>
    <row r="81" spans="2:7">
      <c r="B81" s="180"/>
      <c r="C81" s="34"/>
      <c r="D81" s="180"/>
      <c r="E81" s="34"/>
      <c r="F81" s="181"/>
      <c r="G81" s="34"/>
    </row>
    <row r="82" spans="2:7">
      <c r="B82" s="180"/>
      <c r="C82" s="34"/>
      <c r="D82" s="180"/>
      <c r="E82" s="34"/>
      <c r="F82" s="181"/>
      <c r="G82" s="34"/>
    </row>
    <row r="83" spans="2:7">
      <c r="B83" s="180"/>
      <c r="C83" s="34"/>
      <c r="D83" s="180"/>
      <c r="E83" s="34"/>
      <c r="F83" s="181"/>
      <c r="G83" s="34"/>
    </row>
    <row r="84" spans="2:7">
      <c r="B84" s="180"/>
      <c r="C84" s="34"/>
      <c r="D84" s="180"/>
      <c r="E84" s="34"/>
      <c r="F84" s="181"/>
      <c r="G84" s="34"/>
    </row>
    <row r="85" spans="2:7">
      <c r="B85" s="180"/>
      <c r="C85" s="34"/>
      <c r="D85" s="180"/>
      <c r="E85" s="34"/>
      <c r="F85" s="181"/>
      <c r="G85" s="34"/>
    </row>
    <row r="86" spans="2:7">
      <c r="B86" s="180"/>
      <c r="C86" s="34"/>
      <c r="D86" s="180"/>
      <c r="E86" s="34"/>
      <c r="F86" s="181"/>
      <c r="G86" s="34"/>
    </row>
    <row r="87" spans="2:7">
      <c r="B87" s="180"/>
      <c r="C87" s="34"/>
      <c r="D87" s="180"/>
      <c r="E87" s="34"/>
      <c r="F87" s="181"/>
      <c r="G87" s="34"/>
    </row>
    <row r="88" spans="2:7">
      <c r="B88" s="180"/>
      <c r="C88" s="34"/>
      <c r="D88" s="180"/>
      <c r="E88" s="34"/>
      <c r="F88" s="181"/>
      <c r="G88" s="34"/>
    </row>
    <row r="89" spans="2:7">
      <c r="B89" s="180"/>
      <c r="C89" s="34"/>
      <c r="D89" s="180"/>
      <c r="E89" s="34"/>
      <c r="F89" s="181"/>
      <c r="G89" s="34"/>
    </row>
    <row r="90" spans="2:7">
      <c r="B90" s="180"/>
      <c r="C90" s="34"/>
      <c r="D90" s="180"/>
      <c r="E90" s="34"/>
      <c r="F90" s="181"/>
      <c r="G90" s="34"/>
    </row>
    <row r="91" spans="2:7">
      <c r="B91" s="180"/>
      <c r="C91" s="34"/>
      <c r="D91" s="180"/>
      <c r="E91" s="34"/>
      <c r="F91" s="181"/>
      <c r="G91" s="34"/>
    </row>
    <row r="92" spans="2:7">
      <c r="B92" s="180"/>
      <c r="C92" s="34"/>
      <c r="D92" s="180"/>
      <c r="E92" s="34"/>
      <c r="F92" s="181"/>
      <c r="G92" s="34"/>
    </row>
    <row r="93" spans="2:7">
      <c r="B93" s="180"/>
      <c r="C93" s="34"/>
      <c r="D93" s="180"/>
      <c r="E93" s="34"/>
      <c r="F93" s="181"/>
      <c r="G93" s="34"/>
    </row>
    <row r="94" spans="2:7">
      <c r="B94" s="180"/>
      <c r="C94" s="34"/>
      <c r="D94" s="180"/>
      <c r="E94" s="34"/>
      <c r="F94" s="181"/>
      <c r="G94" s="34"/>
    </row>
    <row r="95" spans="2:7">
      <c r="B95" s="180"/>
      <c r="C95" s="34"/>
      <c r="D95" s="180"/>
      <c r="E95" s="34"/>
      <c r="F95" s="181"/>
      <c r="G95" s="34"/>
    </row>
    <row r="96" spans="2:7">
      <c r="B96" s="180"/>
      <c r="C96" s="34"/>
      <c r="D96" s="180"/>
      <c r="E96" s="34"/>
      <c r="F96" s="181"/>
      <c r="G96" s="34"/>
    </row>
  </sheetData>
  <mergeCells count="2">
    <mergeCell ref="A1:G1"/>
    <mergeCell ref="A3:A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2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G9" sqref="G8:G9"/>
    </sheetView>
  </sheetViews>
  <sheetFormatPr baseColWidth="10" defaultRowHeight="12.75"/>
  <cols>
    <col min="1" max="1" width="24.42578125" bestFit="1" customWidth="1"/>
    <col min="3" max="3" width="10.28515625" bestFit="1" customWidth="1"/>
    <col min="4" max="4" width="16.140625" customWidth="1"/>
    <col min="5" max="5" width="36.140625" bestFit="1" customWidth="1"/>
    <col min="6" max="6" width="16.42578125" bestFit="1" customWidth="1"/>
    <col min="7" max="7" width="20.28515625" bestFit="1" customWidth="1"/>
    <col min="8" max="8" width="18.140625" customWidth="1"/>
    <col min="9" max="9" width="17.85546875" bestFit="1" customWidth="1"/>
    <col min="10" max="10" width="12" bestFit="1" customWidth="1"/>
    <col min="11" max="11" width="17.85546875" customWidth="1"/>
    <col min="12" max="12" width="13.5703125" bestFit="1" customWidth="1"/>
    <col min="13" max="13" width="14.140625" hidden="1" customWidth="1"/>
    <col min="14" max="14" width="12.5703125" bestFit="1" customWidth="1"/>
    <col min="15" max="15" width="15.7109375" bestFit="1" customWidth="1"/>
    <col min="16" max="17" width="12.28515625" customWidth="1"/>
    <col min="18" max="18" width="16.7109375" bestFit="1" customWidth="1"/>
  </cols>
  <sheetData>
    <row r="1" spans="1:18" ht="15">
      <c r="A1" s="882" t="s">
        <v>508</v>
      </c>
      <c r="B1" s="882"/>
      <c r="C1" s="882"/>
      <c r="D1" s="882"/>
      <c r="E1" s="882"/>
      <c r="F1" s="882"/>
      <c r="G1" s="882"/>
      <c r="H1" s="882"/>
      <c r="I1" s="882"/>
      <c r="J1" s="882"/>
      <c r="K1" s="882"/>
      <c r="L1" s="882"/>
      <c r="M1" s="882"/>
      <c r="N1" s="882"/>
      <c r="O1" s="882"/>
      <c r="P1" s="882"/>
      <c r="Q1" s="882"/>
      <c r="R1" s="882"/>
    </row>
    <row r="2" spans="1:18">
      <c r="A2" s="883"/>
      <c r="B2" s="883"/>
      <c r="C2" s="883"/>
      <c r="D2" s="883"/>
      <c r="E2" s="883"/>
      <c r="F2" s="883"/>
      <c r="G2" s="883"/>
      <c r="H2" s="883"/>
      <c r="I2" s="883"/>
      <c r="J2" s="883"/>
      <c r="K2" s="883"/>
      <c r="L2" s="883"/>
      <c r="M2" s="883"/>
      <c r="N2" s="883"/>
      <c r="O2" s="883"/>
      <c r="P2" s="883"/>
      <c r="Q2" s="883"/>
      <c r="R2" s="883"/>
    </row>
    <row r="3" spans="1:18">
      <c r="A3" s="678"/>
      <c r="B3" s="678"/>
      <c r="C3" s="678"/>
      <c r="D3" s="678"/>
      <c r="E3" s="678"/>
      <c r="F3" s="678"/>
      <c r="G3" s="678"/>
      <c r="H3" s="678"/>
      <c r="I3" s="678"/>
      <c r="J3" s="678"/>
      <c r="K3" s="678"/>
      <c r="L3" s="678"/>
      <c r="M3" s="678"/>
      <c r="N3" s="678"/>
      <c r="O3" s="678"/>
      <c r="P3" s="678"/>
      <c r="Q3" s="678"/>
      <c r="R3" s="678"/>
    </row>
    <row r="4" spans="1:18">
      <c r="A4" s="884" t="s">
        <v>531</v>
      </c>
      <c r="B4" s="884"/>
      <c r="C4" s="884"/>
      <c r="D4" s="884"/>
      <c r="E4" s="884" t="s">
        <v>532</v>
      </c>
      <c r="F4" s="884"/>
      <c r="G4" s="884"/>
      <c r="H4" s="884"/>
      <c r="I4" s="884" t="s">
        <v>533</v>
      </c>
      <c r="J4" s="884"/>
      <c r="K4" s="884"/>
      <c r="L4" s="884"/>
      <c r="M4" s="884"/>
      <c r="N4" s="884"/>
      <c r="O4" s="884"/>
      <c r="P4" s="884"/>
      <c r="Q4" s="884"/>
      <c r="R4" s="884"/>
    </row>
    <row r="5" spans="1:18" ht="38.25">
      <c r="A5" s="686" t="s">
        <v>509</v>
      </c>
      <c r="B5" s="687" t="s">
        <v>510</v>
      </c>
      <c r="C5" s="687" t="s">
        <v>511</v>
      </c>
      <c r="D5" s="687" t="s">
        <v>512</v>
      </c>
      <c r="E5" s="688" t="s">
        <v>580</v>
      </c>
      <c r="F5" s="688" t="s">
        <v>582</v>
      </c>
      <c r="G5" s="688" t="s">
        <v>529</v>
      </c>
      <c r="H5" s="688" t="s">
        <v>530</v>
      </c>
      <c r="I5" s="689" t="s">
        <v>578</v>
      </c>
      <c r="J5" s="690" t="s">
        <v>579</v>
      </c>
      <c r="K5" s="690" t="s">
        <v>534</v>
      </c>
      <c r="L5" s="691" t="s">
        <v>513</v>
      </c>
      <c r="M5" s="692" t="s">
        <v>514</v>
      </c>
      <c r="N5" s="693" t="s">
        <v>515</v>
      </c>
      <c r="O5" s="693" t="s">
        <v>516</v>
      </c>
      <c r="P5" s="694" t="s">
        <v>554</v>
      </c>
      <c r="Q5" s="694" t="s">
        <v>555</v>
      </c>
      <c r="R5" s="695" t="s">
        <v>517</v>
      </c>
    </row>
    <row r="6" spans="1:18">
      <c r="A6" s="704" t="s">
        <v>518</v>
      </c>
      <c r="B6" s="661"/>
      <c r="C6" s="662" t="s">
        <v>519</v>
      </c>
      <c r="D6" s="663" t="s">
        <v>520</v>
      </c>
      <c r="E6" s="663" t="s">
        <v>537</v>
      </c>
      <c r="F6" s="663"/>
      <c r="G6" s="663" t="s">
        <v>541</v>
      </c>
      <c r="H6" s="663" t="s">
        <v>547</v>
      </c>
      <c r="I6" s="684" t="s">
        <v>599</v>
      </c>
      <c r="J6" s="684"/>
      <c r="K6" s="684">
        <v>1.5</v>
      </c>
      <c r="L6" s="664">
        <v>5000</v>
      </c>
      <c r="M6" s="664">
        <f>L6*1.2</f>
        <v>6000</v>
      </c>
      <c r="N6" s="665">
        <v>1</v>
      </c>
      <c r="O6" s="664">
        <f>L6*N6</f>
        <v>5000</v>
      </c>
      <c r="P6" s="664"/>
      <c r="Q6" s="664"/>
      <c r="R6" s="705"/>
    </row>
    <row r="7" spans="1:18">
      <c r="A7" s="704" t="s">
        <v>521</v>
      </c>
      <c r="B7" s="661"/>
      <c r="C7" s="662" t="s">
        <v>522</v>
      </c>
      <c r="D7" s="663" t="s">
        <v>523</v>
      </c>
      <c r="E7" s="663"/>
      <c r="F7" s="663"/>
      <c r="G7" s="663"/>
      <c r="H7" s="663"/>
      <c r="I7" s="684"/>
      <c r="J7" s="684"/>
      <c r="K7" s="663"/>
      <c r="L7" s="664">
        <v>2000</v>
      </c>
      <c r="M7" s="664">
        <f>L7*1.2</f>
        <v>2400</v>
      </c>
      <c r="N7" s="665">
        <v>0</v>
      </c>
      <c r="O7" s="664">
        <f>L7*N7</f>
        <v>0</v>
      </c>
      <c r="P7" s="664"/>
      <c r="Q7" s="664"/>
      <c r="R7" s="705"/>
    </row>
    <row r="8" spans="1:18">
      <c r="A8" s="704"/>
      <c r="B8" s="661"/>
      <c r="C8" s="662"/>
      <c r="D8" s="663"/>
      <c r="E8" s="663"/>
      <c r="F8" s="663"/>
      <c r="G8" s="663"/>
      <c r="H8" s="663"/>
      <c r="I8" s="684"/>
      <c r="J8" s="684"/>
      <c r="K8" s="663"/>
      <c r="L8" s="664"/>
      <c r="M8" s="664"/>
      <c r="N8" s="665"/>
      <c r="O8" s="664"/>
      <c r="P8" s="664"/>
      <c r="Q8" s="664"/>
      <c r="R8" s="705"/>
    </row>
    <row r="9" spans="1:18">
      <c r="A9" s="704" t="s">
        <v>518</v>
      </c>
      <c r="B9" s="661"/>
      <c r="C9" s="662" t="s">
        <v>556</v>
      </c>
      <c r="D9" s="663" t="s">
        <v>557</v>
      </c>
      <c r="E9" s="663"/>
      <c r="F9" s="663"/>
      <c r="G9" s="663"/>
      <c r="H9" s="663"/>
      <c r="I9" s="684"/>
      <c r="J9" s="684"/>
      <c r="K9" s="663"/>
      <c r="L9" s="664">
        <v>3000</v>
      </c>
      <c r="M9" s="664">
        <f>L9*1.2</f>
        <v>3600</v>
      </c>
      <c r="N9" s="665">
        <v>0.7</v>
      </c>
      <c r="O9" s="664">
        <f>L9*N9</f>
        <v>2100</v>
      </c>
      <c r="P9" s="664"/>
      <c r="Q9" s="664"/>
      <c r="R9" s="705"/>
    </row>
    <row r="10" spans="1:18">
      <c r="A10" s="735"/>
      <c r="B10" s="736"/>
      <c r="C10" s="737"/>
      <c r="D10" s="738"/>
      <c r="E10" s="739"/>
      <c r="F10" s="739"/>
      <c r="G10" s="739"/>
      <c r="H10" s="739"/>
      <c r="I10" s="740"/>
      <c r="J10" s="741"/>
      <c r="K10" s="742"/>
      <c r="L10" s="743"/>
      <c r="M10" s="743"/>
      <c r="N10" s="744"/>
      <c r="O10" s="743"/>
      <c r="P10" s="743"/>
      <c r="Q10" s="743"/>
      <c r="R10" s="745"/>
    </row>
    <row r="11" spans="1:18" ht="13.5" thickBot="1">
      <c r="A11" s="696"/>
      <c r="B11" s="697"/>
      <c r="C11" s="697"/>
      <c r="D11" s="697"/>
      <c r="E11" s="698"/>
      <c r="F11" s="698"/>
      <c r="G11" s="698"/>
      <c r="H11" s="698"/>
      <c r="I11" s="699"/>
      <c r="J11" s="700"/>
      <c r="K11" s="700"/>
      <c r="L11" s="701">
        <f>SUM(L6:L9)</f>
        <v>10000</v>
      </c>
      <c r="M11" s="701">
        <f>SUM(M6:M7)</f>
        <v>8400</v>
      </c>
      <c r="N11" s="701"/>
      <c r="O11" s="701">
        <f>SUM(O6:O9)</f>
        <v>7100</v>
      </c>
      <c r="P11" s="702"/>
      <c r="Q11" s="702"/>
      <c r="R11" s="703"/>
    </row>
    <row r="12" spans="1:18">
      <c r="A12" s="666"/>
      <c r="B12" s="667"/>
      <c r="C12" s="667"/>
      <c r="D12" s="668"/>
      <c r="E12" s="668"/>
      <c r="F12" s="668"/>
      <c r="G12" s="668"/>
      <c r="H12" s="668"/>
      <c r="R12" s="667"/>
    </row>
    <row r="13" spans="1:18" ht="13.5" thickBot="1">
      <c r="A13" s="669"/>
      <c r="B13" s="669"/>
      <c r="C13" s="670"/>
      <c r="D13" s="668"/>
      <c r="E13" s="668"/>
      <c r="F13" s="668"/>
      <c r="G13" s="668"/>
      <c r="H13" s="668"/>
      <c r="N13" s="881" t="s">
        <v>566</v>
      </c>
      <c r="O13" s="881"/>
      <c r="R13" s="667"/>
    </row>
    <row r="14" spans="1:18">
      <c r="A14" s="675" t="s">
        <v>526</v>
      </c>
      <c r="B14" s="672">
        <f>AVERAGE(L6:L9)</f>
        <v>3333.3333333333335</v>
      </c>
      <c r="D14" s="885" t="s">
        <v>524</v>
      </c>
      <c r="E14" s="711">
        <f>SUMIF(N6:N9,100%,L6:L9)</f>
        <v>5000</v>
      </c>
      <c r="F14" s="731"/>
      <c r="G14" s="680"/>
      <c r="H14" s="709"/>
      <c r="N14" s="707" t="s">
        <v>559</v>
      </c>
      <c r="O14" s="707" t="s">
        <v>560</v>
      </c>
    </row>
    <row r="15" spans="1:18">
      <c r="A15" s="676" t="s">
        <v>527</v>
      </c>
      <c r="B15" s="673">
        <f>AVERAGEIF(N6:N9,100%,L6:L9)</f>
        <v>5000</v>
      </c>
      <c r="D15" s="879"/>
      <c r="E15" s="712">
        <f>E14/L11</f>
        <v>0.5</v>
      </c>
      <c r="F15" s="732"/>
      <c r="G15" s="710"/>
      <c r="H15" s="709"/>
      <c r="N15" s="706" t="s">
        <v>561</v>
      </c>
      <c r="O15" s="665">
        <v>1</v>
      </c>
    </row>
    <row r="16" spans="1:18" ht="13.5" thickBot="1">
      <c r="A16" s="677" t="s">
        <v>528</v>
      </c>
      <c r="B16" s="674">
        <f>AVERAGEIF(N6:N9,0%,L6:L9)</f>
        <v>2000</v>
      </c>
      <c r="D16" s="879" t="s">
        <v>558</v>
      </c>
      <c r="E16" s="713">
        <f>L11-O11</f>
        <v>2900</v>
      </c>
      <c r="F16" s="680"/>
      <c r="H16" s="2"/>
      <c r="N16" s="706" t="s">
        <v>562</v>
      </c>
      <c r="O16" s="708" t="s">
        <v>563</v>
      </c>
      <c r="P16" s="682" t="s">
        <v>564</v>
      </c>
    </row>
    <row r="17" spans="4:15">
      <c r="D17" s="879"/>
      <c r="E17" s="714">
        <f>E16/L11</f>
        <v>0.28999999999999998</v>
      </c>
      <c r="F17" s="681"/>
      <c r="H17" s="2"/>
      <c r="K17" s="671"/>
      <c r="N17" s="706" t="s">
        <v>565</v>
      </c>
      <c r="O17" s="665">
        <v>0</v>
      </c>
    </row>
    <row r="18" spans="4:15">
      <c r="D18" s="879" t="s">
        <v>525</v>
      </c>
      <c r="E18" s="715">
        <f>SUMIF(N6:N9,0%,L6:L9)</f>
        <v>2000</v>
      </c>
      <c r="F18" s="733"/>
      <c r="H18" s="2"/>
    </row>
    <row r="19" spans="4:15" ht="13.5" thickBot="1">
      <c r="D19" s="880"/>
      <c r="E19" s="716">
        <f>E18/L11</f>
        <v>0.2</v>
      </c>
      <c r="F19" s="734"/>
      <c r="H19" s="2"/>
    </row>
    <row r="24" spans="4:15">
      <c r="D24" s="671"/>
      <c r="E24" s="671"/>
      <c r="F24" s="671"/>
      <c r="G24" s="671"/>
      <c r="H24" s="671"/>
    </row>
  </sheetData>
  <mergeCells count="9">
    <mergeCell ref="D18:D19"/>
    <mergeCell ref="N13:O13"/>
    <mergeCell ref="A1:R1"/>
    <mergeCell ref="A2:R2"/>
    <mergeCell ref="E4:H4"/>
    <mergeCell ref="A4:D4"/>
    <mergeCell ref="I4:R4"/>
    <mergeCell ref="D16:D17"/>
    <mergeCell ref="D14:D15"/>
  </mergeCells>
  <conditionalFormatting sqref="A6:R10">
    <cfRule type="cellIs" dxfId="15" priority="14" stopIfTrue="1" operator="between">
      <formula>0.01</formula>
      <formula>0.99</formula>
    </cfRule>
    <cfRule type="cellIs" dxfId="14" priority="15" stopIfTrue="1" operator="equal">
      <formula>1</formula>
    </cfRule>
  </conditionalFormatting>
  <conditionalFormatting sqref="N6:N10">
    <cfRule type="cellIs" dxfId="13" priority="13" stopIfTrue="1" operator="equal">
      <formula>0</formula>
    </cfRule>
  </conditionalFormatting>
  <conditionalFormatting sqref="O15">
    <cfRule type="cellIs" dxfId="12" priority="11" stopIfTrue="1" operator="between">
      <formula>0.01</formula>
      <formula>0.99</formula>
    </cfRule>
    <cfRule type="cellIs" dxfId="11" priority="12" stopIfTrue="1" operator="equal">
      <formula>1</formula>
    </cfRule>
  </conditionalFormatting>
  <conditionalFormatting sqref="O15">
    <cfRule type="cellIs" dxfId="10" priority="10" stopIfTrue="1" operator="equal">
      <formula>0</formula>
    </cfRule>
  </conditionalFormatting>
  <conditionalFormatting sqref="O17">
    <cfRule type="cellIs" dxfId="9" priority="2" stopIfTrue="1" operator="between">
      <formula>0.01</formula>
      <formula>0.99</formula>
    </cfRule>
    <cfRule type="cellIs" dxfId="8" priority="3" stopIfTrue="1" operator="equal">
      <formula>1</formula>
    </cfRule>
  </conditionalFormatting>
  <conditionalFormatting sqref="O17">
    <cfRule type="cellIs" dxfId="7" priority="1" stopIfTrue="1" operator="equal">
      <formula>0</formula>
    </cfRule>
  </conditionalFormatting>
  <conditionalFormatting sqref="O16">
    <cfRule type="cellIs" dxfId="6" priority="5" stopIfTrue="1" operator="between">
      <formula>0.01</formula>
      <formula>0.99</formula>
    </cfRule>
    <cfRule type="cellIs" dxfId="5" priority="6" stopIfTrue="1" operator="equal">
      <formula>1</formula>
    </cfRule>
  </conditionalFormatting>
  <conditionalFormatting sqref="O16">
    <cfRule type="cellIs" dxfId="4" priority="4" stopIfTrue="1" operator="equal">
      <formula>0</formula>
    </cfRule>
  </conditionalFormatting>
  <hyperlinks>
    <hyperlink ref="A7" r:id="rId1" display="DEV1401-006"/>
    <hyperlink ref="A6" r:id="rId2" display="DEV1401-006"/>
    <hyperlink ref="A9" r:id="rId3" display="DEV1401-006"/>
  </hyperlinks>
  <pageMargins left="0.7" right="0.7" top="0.75" bottom="0.75" header="0.3" footer="0.3"/>
  <pageSetup paperSize="9" orientation="portrait" verticalDpi="0" r:id="rId4"/>
  <legacyDrawing r:id="rId5"/>
  <extLst xmlns:x14="http://schemas.microsoft.com/office/spreadsheetml/2009/9/main">
    <ext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'Listes déroulantes'!$A$2:$A$15</xm:f>
          </x14:formula1>
          <xm:sqref>E6:E10</xm:sqref>
        </x14:dataValidation>
        <x14:dataValidation type="list" allowBlank="1" showInputMessage="1" showErrorMessage="1">
          <x14:formula1>
            <xm:f>'Listes déroulantes'!$B$2:$B$5</xm:f>
          </x14:formula1>
          <xm:sqref>F6:F10</xm:sqref>
        </x14:dataValidation>
        <x14:dataValidation type="list" allowBlank="1" showInputMessage="1" showErrorMessage="1">
          <x14:formula1>
            <xm:f>'Listes déroulantes'!$C$2:$C$11</xm:f>
          </x14:formula1>
          <xm:sqref>G6:G10</xm:sqref>
        </x14:dataValidation>
        <x14:dataValidation type="list" allowBlank="1" showInputMessage="1" showErrorMessage="1">
          <x14:formula1>
            <xm:f>'Listes déroulantes'!$D$2:$D$14</xm:f>
          </x14:formula1>
          <xm:sqref>H6:H10</xm:sqref>
        </x14:dataValidation>
        <x14:dataValidation type="list" allowBlank="1" showInputMessage="1" showErrorMessage="1">
          <x14:formula1>
            <xm:f>'Listes déroulantes'!$E$2:$E$16</xm:f>
          </x14:formula1>
          <xm:sqref>I6:I10</xm:sqref>
        </x14:dataValidation>
        <x14:dataValidation type="list" allowBlank="1" showInputMessage="1" showErrorMessage="1">
          <x14:formula1>
            <xm:f>'Listes déroulantes'!$F$2:$F$8</xm:f>
          </x14:formula1>
          <xm:sqref>J6:J10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>
  <dimension ref="A1:U14"/>
  <sheetViews>
    <sheetView zoomScale="110" zoomScaleNormal="110" workbookViewId="0">
      <pane xSplit="4" ySplit="5" topLeftCell="I6" activePane="bottomRight" state="frozen"/>
      <selection pane="topRight" activeCell="E1" sqref="E1"/>
      <selection pane="bottomLeft" activeCell="A6" sqref="A6"/>
      <selection pane="bottomRight" activeCell="Q7" sqref="Q7"/>
    </sheetView>
  </sheetViews>
  <sheetFormatPr baseColWidth="10" defaultRowHeight="12.75"/>
  <cols>
    <col min="1" max="1" width="13.7109375" bestFit="1" customWidth="1"/>
    <col min="2" max="2" width="16.85546875" bestFit="1" customWidth="1"/>
    <col min="3" max="3" width="13.42578125" bestFit="1" customWidth="1"/>
    <col min="6" max="6" width="36.5703125" bestFit="1" customWidth="1"/>
    <col min="7" max="7" width="12.7109375" bestFit="1" customWidth="1"/>
    <col min="8" max="8" width="20.28515625" bestFit="1" customWidth="1"/>
    <col min="9" max="9" width="17.85546875" bestFit="1" customWidth="1"/>
    <col min="10" max="10" width="24.140625" bestFit="1" customWidth="1"/>
    <col min="11" max="11" width="16.5703125" customWidth="1"/>
    <col min="12" max="12" width="14.140625" customWidth="1"/>
    <col min="13" max="13" width="8.140625" bestFit="1" customWidth="1"/>
    <col min="14" max="14" width="12.5703125" bestFit="1" customWidth="1"/>
    <col min="15" max="15" width="13.140625" bestFit="1" customWidth="1"/>
    <col min="16" max="16" width="14.140625" bestFit="1" customWidth="1"/>
    <col min="17" max="17" width="13" customWidth="1"/>
    <col min="18" max="20" width="12.42578125" customWidth="1"/>
    <col min="21" max="21" width="16.7109375" bestFit="1" customWidth="1"/>
  </cols>
  <sheetData>
    <row r="1" spans="1:21" ht="15">
      <c r="B1" s="882" t="s">
        <v>553</v>
      </c>
      <c r="C1" s="882"/>
      <c r="D1" s="882"/>
      <c r="E1" s="882"/>
      <c r="F1" s="882"/>
      <c r="G1" s="882"/>
      <c r="H1" s="882"/>
      <c r="I1" s="882"/>
      <c r="J1" s="882"/>
      <c r="K1" s="882"/>
      <c r="L1" s="882"/>
      <c r="M1" s="882"/>
      <c r="N1" s="882"/>
      <c r="O1" s="882"/>
      <c r="P1" s="882"/>
      <c r="Q1" s="882"/>
      <c r="R1" s="882"/>
      <c r="S1" s="882"/>
      <c r="T1" s="882"/>
      <c r="U1" s="882"/>
    </row>
    <row r="2" spans="1:21">
      <c r="B2" s="883"/>
      <c r="C2" s="883"/>
      <c r="D2" s="883"/>
      <c r="E2" s="883"/>
      <c r="F2" s="883"/>
      <c r="G2" s="883"/>
      <c r="H2" s="883"/>
      <c r="I2" s="883"/>
      <c r="J2" s="883"/>
      <c r="K2" s="883"/>
      <c r="L2" s="883"/>
      <c r="M2" s="883"/>
      <c r="N2" s="883"/>
      <c r="O2" s="883"/>
      <c r="P2" s="883"/>
      <c r="Q2" s="883"/>
      <c r="R2" s="883"/>
      <c r="S2" s="883"/>
      <c r="T2" s="883"/>
      <c r="U2" s="883"/>
    </row>
    <row r="3" spans="1:21">
      <c r="B3" s="678"/>
      <c r="C3" s="678"/>
      <c r="D3" s="678"/>
      <c r="E3" s="678"/>
      <c r="F3" s="678"/>
      <c r="G3" s="678"/>
      <c r="H3" s="678"/>
      <c r="I3" s="678"/>
      <c r="J3" s="678"/>
      <c r="K3" s="678"/>
      <c r="L3" s="678"/>
      <c r="M3" s="678"/>
      <c r="N3" s="678"/>
      <c r="O3" s="678"/>
      <c r="P3" s="678"/>
      <c r="Q3" s="678"/>
      <c r="R3" s="678"/>
      <c r="S3" s="678"/>
      <c r="T3" s="678"/>
      <c r="U3" s="678"/>
    </row>
    <row r="4" spans="1:21">
      <c r="B4" s="884" t="s">
        <v>572</v>
      </c>
      <c r="C4" s="884"/>
      <c r="D4" s="884"/>
      <c r="E4" s="884"/>
      <c r="F4" s="884" t="s">
        <v>532</v>
      </c>
      <c r="G4" s="884"/>
      <c r="H4" s="884"/>
      <c r="I4" s="884" t="s">
        <v>569</v>
      </c>
      <c r="J4" s="884"/>
      <c r="K4" s="884"/>
      <c r="L4" s="884"/>
      <c r="M4" s="884"/>
      <c r="N4" s="884"/>
      <c r="O4" s="884"/>
      <c r="P4" s="884"/>
      <c r="Q4" s="884"/>
      <c r="R4" s="884"/>
      <c r="S4" s="884"/>
      <c r="T4" s="884"/>
      <c r="U4" s="884"/>
    </row>
    <row r="5" spans="1:21" ht="38.25">
      <c r="A5" s="679" t="s">
        <v>571</v>
      </c>
      <c r="B5" s="679" t="s">
        <v>570</v>
      </c>
      <c r="C5" s="679" t="s">
        <v>510</v>
      </c>
      <c r="D5" s="679" t="s">
        <v>511</v>
      </c>
      <c r="E5" s="679" t="s">
        <v>512</v>
      </c>
      <c r="F5" s="747" t="s">
        <v>580</v>
      </c>
      <c r="G5" s="688" t="s">
        <v>582</v>
      </c>
      <c r="H5" s="688" t="s">
        <v>529</v>
      </c>
      <c r="I5" s="688" t="s">
        <v>530</v>
      </c>
      <c r="J5" s="689" t="s">
        <v>578</v>
      </c>
      <c r="K5" s="690" t="s">
        <v>579</v>
      </c>
      <c r="L5" s="690" t="s">
        <v>534</v>
      </c>
      <c r="M5" s="685" t="s">
        <v>600</v>
      </c>
      <c r="N5" s="685" t="s">
        <v>574</v>
      </c>
      <c r="O5" s="679" t="s">
        <v>513</v>
      </c>
      <c r="P5" s="679" t="s">
        <v>514</v>
      </c>
      <c r="Q5" s="685" t="s">
        <v>567</v>
      </c>
      <c r="R5" s="685" t="s">
        <v>568</v>
      </c>
      <c r="S5" s="685" t="s">
        <v>575</v>
      </c>
      <c r="T5" s="685" t="s">
        <v>576</v>
      </c>
      <c r="U5" s="725" t="s">
        <v>517</v>
      </c>
    </row>
    <row r="6" spans="1:21">
      <c r="A6" s="724" t="str">
        <f>'CHRONO DEVIS'!A6</f>
        <v>DEV1401-002</v>
      </c>
      <c r="B6" s="704"/>
      <c r="C6" s="661">
        <v>41730</v>
      </c>
      <c r="D6" s="662" t="str">
        <f>'CHRONO DEVIS'!C6</f>
        <v>C014</v>
      </c>
      <c r="E6" s="662" t="str">
        <f>'CHRONO DEVIS'!D6</f>
        <v>DREFYRF</v>
      </c>
      <c r="F6" s="663" t="s">
        <v>537</v>
      </c>
      <c r="G6" s="663"/>
      <c r="H6" s="663" t="s">
        <v>541</v>
      </c>
      <c r="I6" s="663" t="s">
        <v>547</v>
      </c>
      <c r="J6" s="684" t="s">
        <v>599</v>
      </c>
      <c r="K6" s="684"/>
      <c r="L6" s="746">
        <v>1.5</v>
      </c>
      <c r="M6" s="746">
        <v>3</v>
      </c>
      <c r="N6" s="746">
        <f>M6-L6</f>
        <v>1.5</v>
      </c>
      <c r="O6" s="664">
        <v>5000</v>
      </c>
      <c r="P6" s="664">
        <f>O6*1.2</f>
        <v>6000</v>
      </c>
      <c r="Q6" s="726">
        <v>41759</v>
      </c>
      <c r="R6" s="726">
        <v>41754</v>
      </c>
      <c r="S6" s="730">
        <f>R6-Q6</f>
        <v>-5</v>
      </c>
      <c r="T6" s="729">
        <f>R6-C6</f>
        <v>24</v>
      </c>
      <c r="U6" s="705"/>
    </row>
    <row r="7" spans="1:21">
      <c r="A7" s="724"/>
      <c r="B7" s="704"/>
      <c r="C7" s="661"/>
      <c r="D7" s="662"/>
      <c r="E7" s="663"/>
      <c r="F7" s="663"/>
      <c r="G7" s="663"/>
      <c r="H7" s="663"/>
      <c r="I7" s="663"/>
      <c r="J7" s="684"/>
      <c r="K7" s="684"/>
      <c r="L7" s="663"/>
      <c r="M7" s="727"/>
      <c r="N7" s="728">
        <f>M7-L7</f>
        <v>0</v>
      </c>
      <c r="O7" s="664"/>
      <c r="P7" s="664">
        <f t="shared" ref="P7:P8" si="0">O7*1.2</f>
        <v>0</v>
      </c>
      <c r="Q7" s="726"/>
      <c r="R7" s="726"/>
      <c r="S7" s="664"/>
      <c r="T7" s="664"/>
      <c r="U7" s="705"/>
    </row>
    <row r="8" spans="1:21">
      <c r="A8" s="724"/>
      <c r="B8" s="704"/>
      <c r="C8" s="661"/>
      <c r="D8" s="662"/>
      <c r="E8" s="663"/>
      <c r="F8" s="663"/>
      <c r="G8" s="663"/>
      <c r="H8" s="663"/>
      <c r="I8" s="663"/>
      <c r="J8" s="684"/>
      <c r="K8" s="684"/>
      <c r="L8" s="663"/>
      <c r="M8" s="727"/>
      <c r="N8" s="728">
        <f>M8-L8</f>
        <v>0</v>
      </c>
      <c r="O8" s="664"/>
      <c r="P8" s="664">
        <f t="shared" si="0"/>
        <v>0</v>
      </c>
      <c r="Q8" s="726"/>
      <c r="R8" s="726"/>
      <c r="S8" s="664"/>
      <c r="T8" s="664"/>
      <c r="U8" s="705"/>
    </row>
    <row r="9" spans="1:21" ht="13.5" thickBot="1">
      <c r="A9" s="723"/>
      <c r="B9" s="723"/>
      <c r="C9" s="697"/>
      <c r="D9" s="697"/>
      <c r="E9" s="697"/>
      <c r="F9" s="698"/>
      <c r="G9" s="698"/>
      <c r="H9" s="698"/>
      <c r="I9" s="699"/>
      <c r="J9" s="700"/>
      <c r="K9" s="700"/>
      <c r="L9" s="700"/>
      <c r="M9" s="700"/>
      <c r="N9" s="700"/>
      <c r="O9" s="701">
        <f>SUM(O6:O8)</f>
        <v>5000</v>
      </c>
      <c r="P9" s="701">
        <f>SUM(P6:P7)</f>
        <v>6000</v>
      </c>
      <c r="Q9" s="702"/>
      <c r="R9" s="702"/>
      <c r="S9" s="702"/>
      <c r="T9" s="702"/>
      <c r="U9" s="703"/>
    </row>
    <row r="10" spans="1:21">
      <c r="B10" s="666"/>
      <c r="C10" s="667"/>
      <c r="D10" s="667"/>
      <c r="E10" s="668"/>
      <c r="F10" s="668"/>
      <c r="G10" s="668"/>
      <c r="H10" s="668"/>
      <c r="L10" s="890" t="s">
        <v>573</v>
      </c>
      <c r="M10" s="891"/>
      <c r="N10" s="891"/>
      <c r="O10" s="671">
        <f>AVERAGE(O6:O8)</f>
        <v>5000</v>
      </c>
      <c r="U10" s="667"/>
    </row>
    <row r="11" spans="1:21" ht="13.5" thickBot="1">
      <c r="B11" s="669"/>
      <c r="C11" s="669"/>
      <c r="D11" s="670"/>
      <c r="E11" s="668"/>
      <c r="F11" s="668"/>
      <c r="G11" s="668"/>
      <c r="H11" s="668"/>
      <c r="Q11" s="718"/>
      <c r="R11" s="718"/>
      <c r="S11" s="718"/>
      <c r="T11" s="718"/>
      <c r="U11" s="717"/>
    </row>
    <row r="12" spans="1:21" ht="13.5" thickBot="1">
      <c r="A12" s="886"/>
      <c r="B12" s="887"/>
      <c r="C12" s="722"/>
      <c r="E12" s="719"/>
      <c r="F12" s="680"/>
      <c r="G12" s="680"/>
      <c r="H12" s="709"/>
      <c r="Q12" s="718"/>
      <c r="R12" s="718"/>
      <c r="S12" s="718"/>
      <c r="T12" s="718"/>
      <c r="U12" s="718"/>
    </row>
    <row r="13" spans="1:21">
      <c r="A13" s="888"/>
      <c r="B13" s="888"/>
      <c r="C13" s="721"/>
      <c r="E13" s="719"/>
      <c r="F13" s="681"/>
      <c r="G13" s="710"/>
      <c r="H13" s="709"/>
      <c r="Q13" s="718"/>
      <c r="R13" s="718"/>
      <c r="S13" s="718"/>
      <c r="T13" s="718"/>
      <c r="U13" s="718"/>
    </row>
    <row r="14" spans="1:21">
      <c r="A14" s="889"/>
      <c r="B14" s="889"/>
      <c r="C14" s="721"/>
      <c r="E14" s="720"/>
      <c r="F14" s="680"/>
      <c r="Q14" s="718"/>
      <c r="R14" s="718"/>
      <c r="S14" s="718"/>
      <c r="T14" s="718"/>
      <c r="U14" s="718"/>
    </row>
  </sheetData>
  <mergeCells count="9">
    <mergeCell ref="A12:B12"/>
    <mergeCell ref="A13:B13"/>
    <mergeCell ref="A14:B14"/>
    <mergeCell ref="L10:N10"/>
    <mergeCell ref="B1:U1"/>
    <mergeCell ref="B2:U2"/>
    <mergeCell ref="B4:E4"/>
    <mergeCell ref="F4:H4"/>
    <mergeCell ref="I4:U4"/>
  </mergeCells>
  <conditionalFormatting sqref="B6:E8 M8 O6:U8">
    <cfRule type="cellIs" dxfId="3" priority="17" stopIfTrue="1" operator="between">
      <formula>0.01</formula>
      <formula>0.99</formula>
    </cfRule>
    <cfRule type="cellIs" dxfId="2" priority="18" stopIfTrue="1" operator="equal">
      <formula>1</formula>
    </cfRule>
  </conditionalFormatting>
  <conditionalFormatting sqref="F6:L8">
    <cfRule type="cellIs" dxfId="1" priority="1" stopIfTrue="1" operator="between">
      <formula>0.01</formula>
      <formula>0.99</formula>
    </cfRule>
    <cfRule type="cellIs" dxfId="0" priority="2" stopIfTrue="1" operator="equal">
      <formula>1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'Listes déroulantes'!$F$2:$F$8</xm:f>
          </x14:formula1>
          <xm:sqref>K6:K8</xm:sqref>
        </x14:dataValidation>
        <x14:dataValidation type="list" allowBlank="1" showInputMessage="1" showErrorMessage="1">
          <x14:formula1>
            <xm:f>'Listes déroulantes'!$E$2:$E$16</xm:f>
          </x14:formula1>
          <xm:sqref>J6:J8</xm:sqref>
        </x14:dataValidation>
        <x14:dataValidation type="list" allowBlank="1" showInputMessage="1" showErrorMessage="1">
          <x14:formula1>
            <xm:f>'Listes déroulantes'!$D$2:$D$14</xm:f>
          </x14:formula1>
          <xm:sqref>I6:I8</xm:sqref>
        </x14:dataValidation>
        <x14:dataValidation type="list" allowBlank="1" showInputMessage="1" showErrorMessage="1">
          <x14:formula1>
            <xm:f>'Listes déroulantes'!$C$2:$C$11</xm:f>
          </x14:formula1>
          <xm:sqref>H6:H8</xm:sqref>
        </x14:dataValidation>
        <x14:dataValidation type="list" allowBlank="1" showInputMessage="1" showErrorMessage="1">
          <x14:formula1>
            <xm:f>'Listes déroulantes'!$B$2:$B$5</xm:f>
          </x14:formula1>
          <xm:sqref>G6:G8</xm:sqref>
        </x14:dataValidation>
        <x14:dataValidation type="list" allowBlank="1" showInputMessage="1" showErrorMessage="1">
          <x14:formula1>
            <xm:f>'Listes déroulantes'!$A$2:$A$15</xm:f>
          </x14:formula1>
          <xm:sqref>F6:F8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11"/>
  <sheetViews>
    <sheetView workbookViewId="0">
      <selection sqref="A1:F1"/>
    </sheetView>
  </sheetViews>
  <sheetFormatPr baseColWidth="10" defaultRowHeight="12.75"/>
  <cols>
    <col min="1" max="1" width="47.7109375" bestFit="1" customWidth="1"/>
    <col min="2" max="2" width="13" bestFit="1" customWidth="1"/>
    <col min="3" max="3" width="20.85546875" bestFit="1" customWidth="1"/>
    <col min="4" max="4" width="34.7109375" bestFit="1" customWidth="1"/>
    <col min="5" max="5" width="27.85546875" bestFit="1" customWidth="1"/>
    <col min="6" max="6" width="17.7109375" customWidth="1"/>
  </cols>
  <sheetData>
    <row r="1" spans="1:6" ht="25.5">
      <c r="A1" s="688" t="s">
        <v>580</v>
      </c>
      <c r="B1" s="688" t="s">
        <v>582</v>
      </c>
      <c r="C1" s="688" t="s">
        <v>529</v>
      </c>
      <c r="D1" s="688" t="s">
        <v>530</v>
      </c>
      <c r="E1" s="689" t="s">
        <v>578</v>
      </c>
      <c r="F1" s="690" t="s">
        <v>579</v>
      </c>
    </row>
    <row r="2" spans="1:6">
      <c r="A2" s="682" t="s">
        <v>537</v>
      </c>
      <c r="B2" s="682" t="s">
        <v>581</v>
      </c>
      <c r="C2" t="s">
        <v>583</v>
      </c>
      <c r="D2" s="682" t="s">
        <v>542</v>
      </c>
      <c r="E2" s="682" t="s">
        <v>599</v>
      </c>
      <c r="F2" t="s">
        <v>590</v>
      </c>
    </row>
    <row r="3" spans="1:6">
      <c r="A3" s="682" t="s">
        <v>538</v>
      </c>
      <c r="B3" s="682" t="s">
        <v>506</v>
      </c>
      <c r="C3" t="s">
        <v>586</v>
      </c>
      <c r="D3" s="682" t="s">
        <v>543</v>
      </c>
      <c r="E3" s="682" t="s">
        <v>594</v>
      </c>
      <c r="F3" t="s">
        <v>591</v>
      </c>
    </row>
    <row r="4" spans="1:6">
      <c r="A4" s="683" t="s">
        <v>540</v>
      </c>
      <c r="B4" s="682"/>
      <c r="C4" t="s">
        <v>585</v>
      </c>
      <c r="D4" s="682" t="s">
        <v>544</v>
      </c>
      <c r="E4" s="682" t="s">
        <v>595</v>
      </c>
      <c r="F4" t="s">
        <v>592</v>
      </c>
    </row>
    <row r="5" spans="1:6">
      <c r="A5" s="683" t="s">
        <v>535</v>
      </c>
      <c r="B5" s="683"/>
      <c r="C5" t="s">
        <v>587</v>
      </c>
      <c r="D5" s="683" t="s">
        <v>545</v>
      </c>
      <c r="E5" s="683" t="s">
        <v>596</v>
      </c>
      <c r="F5" t="s">
        <v>593</v>
      </c>
    </row>
    <row r="6" spans="1:6">
      <c r="A6" s="683" t="s">
        <v>552</v>
      </c>
      <c r="B6" s="683"/>
      <c r="C6" t="s">
        <v>588</v>
      </c>
      <c r="D6" s="683" t="s">
        <v>546</v>
      </c>
      <c r="E6" s="683" t="s">
        <v>597</v>
      </c>
    </row>
    <row r="7" spans="1:6">
      <c r="A7" s="683" t="s">
        <v>536</v>
      </c>
      <c r="C7" t="s">
        <v>589</v>
      </c>
      <c r="D7" t="s">
        <v>547</v>
      </c>
      <c r="E7" s="683" t="s">
        <v>598</v>
      </c>
    </row>
    <row r="8" spans="1:6">
      <c r="A8" s="683" t="s">
        <v>539</v>
      </c>
      <c r="D8" t="s">
        <v>548</v>
      </c>
    </row>
    <row r="9" spans="1:6">
      <c r="A9" s="683" t="s">
        <v>584</v>
      </c>
      <c r="D9" t="s">
        <v>549</v>
      </c>
    </row>
    <row r="10" spans="1:6">
      <c r="A10" s="683"/>
      <c r="D10" t="s">
        <v>550</v>
      </c>
    </row>
    <row r="11" spans="1:6">
      <c r="C11" s="682"/>
      <c r="D11" t="s">
        <v>551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1" enableFormatConditionsCalculation="0">
    <tabColor indexed="20"/>
  </sheetPr>
  <dimension ref="A1:O27"/>
  <sheetViews>
    <sheetView showGridLines="0" zoomScale="75" zoomScaleNormal="75" workbookViewId="0">
      <selection activeCell="G6" sqref="G6:G11"/>
    </sheetView>
  </sheetViews>
  <sheetFormatPr baseColWidth="10" defaultRowHeight="15"/>
  <cols>
    <col min="1" max="1" width="6.7109375" style="3" customWidth="1"/>
    <col min="2" max="2" width="47.7109375" style="4" customWidth="1"/>
    <col min="3" max="3" width="13.7109375" style="36" customWidth="1"/>
    <col min="4" max="4" width="13.28515625" style="3" hidden="1" customWidth="1"/>
    <col min="5" max="5" width="14" style="3" hidden="1" customWidth="1"/>
    <col min="6" max="6" width="2.42578125" style="3" customWidth="1"/>
    <col min="7" max="7" width="11.42578125" style="3"/>
    <col min="8" max="8" width="49.7109375" style="3" bestFit="1" customWidth="1"/>
    <col min="9" max="9" width="14.85546875" style="3" bestFit="1" customWidth="1"/>
    <col min="10" max="16384" width="11.42578125" style="3"/>
  </cols>
  <sheetData>
    <row r="1" spans="1:15" ht="22.5">
      <c r="A1" s="792" t="s">
        <v>384</v>
      </c>
      <c r="B1" s="793"/>
      <c r="C1" s="794"/>
      <c r="G1" s="792" t="s">
        <v>392</v>
      </c>
      <c r="H1" s="793"/>
      <c r="I1" s="794"/>
    </row>
    <row r="2" spans="1:15" ht="16.5">
      <c r="A2" s="78"/>
      <c r="B2" s="79"/>
      <c r="C2" s="80"/>
      <c r="G2" s="78"/>
      <c r="H2" s="79"/>
      <c r="I2" s="89"/>
    </row>
    <row r="3" spans="1:15" ht="22.5">
      <c r="A3" s="795" t="s">
        <v>498</v>
      </c>
      <c r="B3" s="795"/>
      <c r="C3" s="795"/>
      <c r="D3" s="795"/>
      <c r="E3" s="795"/>
      <c r="F3" s="795"/>
      <c r="G3" s="795"/>
      <c r="H3" s="795"/>
      <c r="I3" s="795"/>
      <c r="L3" s="410"/>
    </row>
    <row r="4" spans="1:15" ht="16.5">
      <c r="A4" s="78"/>
      <c r="B4" s="79"/>
      <c r="C4" s="80"/>
      <c r="G4" s="78"/>
      <c r="H4" s="79"/>
      <c r="I4" s="89"/>
    </row>
    <row r="5" spans="1:15" ht="35.25" customHeight="1" thickBot="1">
      <c r="A5" s="796" t="s">
        <v>1</v>
      </c>
      <c r="B5" s="796"/>
      <c r="C5" s="81" t="s">
        <v>247</v>
      </c>
      <c r="D5" s="81" t="s">
        <v>65</v>
      </c>
      <c r="E5" s="81" t="s">
        <v>51</v>
      </c>
      <c r="G5" s="797" t="s">
        <v>38</v>
      </c>
      <c r="H5" s="798"/>
      <c r="I5" s="90" t="s">
        <v>248</v>
      </c>
    </row>
    <row r="6" spans="1:15" s="5" customFormat="1" ht="22.5" customHeight="1" thickBot="1">
      <c r="A6" s="780" t="s">
        <v>2</v>
      </c>
      <c r="B6" s="84" t="s">
        <v>189</v>
      </c>
      <c r="C6" s="85">
        <f>'1.1 Détails Investissements'!B5+'1.1 Détails Investissements'!D5</f>
        <v>0</v>
      </c>
      <c r="D6" s="83" t="e">
        <f>'1.1 Détails Investissements'!#REF!</f>
        <v>#REF!</v>
      </c>
      <c r="E6" s="83" t="e">
        <f>'1.1 Détails Investissements'!#REF!</f>
        <v>#REF!</v>
      </c>
      <c r="G6" s="783" t="s">
        <v>39</v>
      </c>
      <c r="H6" s="84" t="s">
        <v>40</v>
      </c>
      <c r="I6" s="519"/>
      <c r="J6" s="363"/>
      <c r="K6" s="364" t="s">
        <v>328</v>
      </c>
      <c r="L6" s="364"/>
      <c r="M6" s="616"/>
      <c r="N6" s="365" t="s">
        <v>329</v>
      </c>
      <c r="O6" s="479"/>
    </row>
    <row r="7" spans="1:15" s="5" customFormat="1" ht="22.5" customHeight="1" thickBot="1">
      <c r="A7" s="781"/>
      <c r="B7" s="84" t="s">
        <v>3</v>
      </c>
      <c r="C7" s="85">
        <f>'1.1 Détails Investissements'!B10+'1.1 Détails Investissements'!D10</f>
        <v>0</v>
      </c>
      <c r="D7" s="85">
        <f>'1.1 Détails Investissements'!E5</f>
        <v>0</v>
      </c>
      <c r="E7" s="85" t="e">
        <f>'1.1 Détails Investissements'!#REF!</f>
        <v>#REF!</v>
      </c>
      <c r="G7" s="783"/>
      <c r="H7" s="84" t="s">
        <v>41</v>
      </c>
      <c r="I7" s="85">
        <f>'1.1 Détails Investissements'!D62+'1.2 Détails stocks'!F23+'1.2 Détails stocks'!G23</f>
        <v>0</v>
      </c>
      <c r="J7" s="364"/>
      <c r="K7" s="364" t="s">
        <v>328</v>
      </c>
      <c r="L7" s="364"/>
      <c r="M7" s="616"/>
      <c r="N7" s="365" t="s">
        <v>329</v>
      </c>
      <c r="O7" s="479"/>
    </row>
    <row r="8" spans="1:15" s="5" customFormat="1" ht="22.5" customHeight="1">
      <c r="A8" s="781"/>
      <c r="B8" s="84" t="s">
        <v>4</v>
      </c>
      <c r="C8" s="85">
        <f>'1.1 Détails Investissements'!B12+'1.1 Détails Investissements'!D12</f>
        <v>0</v>
      </c>
      <c r="D8" s="85">
        <f>'1.1 Détails Investissements'!E10</f>
        <v>0</v>
      </c>
      <c r="E8" s="85" t="e">
        <f>'1.1 Détails Investissements'!#REF!</f>
        <v>#REF!</v>
      </c>
      <c r="G8" s="783"/>
      <c r="H8" s="520" t="s">
        <v>502</v>
      </c>
      <c r="I8" s="519"/>
      <c r="J8" s="12"/>
      <c r="K8" s="12"/>
      <c r="L8" s="12"/>
      <c r="M8" s="12"/>
      <c r="N8" s="12"/>
      <c r="O8" s="12"/>
    </row>
    <row r="9" spans="1:15" s="5" customFormat="1" ht="22.5" customHeight="1">
      <c r="A9" s="781"/>
      <c r="B9" s="84" t="s">
        <v>5</v>
      </c>
      <c r="C9" s="85">
        <f>'1.1 Détails Investissements'!B14+'1.1 Détails Investissements'!D14</f>
        <v>0</v>
      </c>
      <c r="D9" s="85">
        <f>'1.1 Détails Investissements'!E12</f>
        <v>0</v>
      </c>
      <c r="E9" s="85" t="e">
        <f>'1.1 Détails Investissements'!#REF!</f>
        <v>#REF!</v>
      </c>
      <c r="G9" s="783"/>
      <c r="H9" s="520" t="s">
        <v>470</v>
      </c>
      <c r="I9" s="519"/>
      <c r="J9" s="12"/>
      <c r="K9" s="12"/>
      <c r="L9" s="12"/>
      <c r="M9" s="12"/>
      <c r="N9" s="12"/>
      <c r="O9" s="12"/>
    </row>
    <row r="10" spans="1:15" s="5" customFormat="1" ht="22.5" customHeight="1">
      <c r="A10" s="781"/>
      <c r="B10" s="86" t="s">
        <v>6</v>
      </c>
      <c r="C10" s="85">
        <f>'1.1 Détails Investissements'!B16+'1.1 Détails Investissements'!D16</f>
        <v>0</v>
      </c>
      <c r="D10" s="85">
        <f>'1.1 Détails Investissements'!E14</f>
        <v>0</v>
      </c>
      <c r="E10" s="85" t="e">
        <f>'1.1 Détails Investissements'!#REF!</f>
        <v>#REF!</v>
      </c>
      <c r="G10" s="783"/>
      <c r="H10" s="520"/>
      <c r="I10" s="519"/>
      <c r="J10" s="12"/>
      <c r="K10" s="12"/>
      <c r="L10" s="12"/>
      <c r="M10" s="12"/>
      <c r="N10" s="12"/>
      <c r="O10" s="12"/>
    </row>
    <row r="11" spans="1:15" s="5" customFormat="1" ht="22.5" customHeight="1" thickBot="1">
      <c r="A11" s="781"/>
      <c r="B11" s="86" t="s">
        <v>7</v>
      </c>
      <c r="C11" s="85">
        <f>'1.1 Détails Investissements'!B30+'1.1 Détails Investissements'!D30</f>
        <v>0</v>
      </c>
      <c r="D11" s="85">
        <f>'1.1 Détails Investissements'!E16</f>
        <v>0</v>
      </c>
      <c r="E11" s="85" t="e">
        <f>'1.1 Détails Investissements'!#REF!</f>
        <v>#REF!</v>
      </c>
      <c r="G11" s="783"/>
      <c r="H11" s="520"/>
      <c r="I11" s="519"/>
      <c r="J11" s="12"/>
      <c r="K11" s="12"/>
      <c r="L11" s="12"/>
      <c r="M11" s="12"/>
      <c r="N11" s="12"/>
      <c r="O11" s="12"/>
    </row>
    <row r="12" spans="1:15" s="5" customFormat="1" ht="22.5" customHeight="1" thickBot="1">
      <c r="A12" s="781"/>
      <c r="B12" s="84" t="s">
        <v>8</v>
      </c>
      <c r="C12" s="85">
        <f>'1.1 Détails Investissements'!B40+'1.1 Détails Investissements'!D40</f>
        <v>0</v>
      </c>
      <c r="D12" s="85">
        <f>'1.1 Détails Investissements'!E30</f>
        <v>0</v>
      </c>
      <c r="E12" s="85" t="e">
        <f>'1.1 Détails Investissements'!D30+'1.1 Détails Investissements'!#REF!</f>
        <v>#REF!</v>
      </c>
      <c r="F12" s="43"/>
      <c r="G12" s="784" t="s">
        <v>11</v>
      </c>
      <c r="H12" s="784"/>
      <c r="I12" s="300">
        <f>SUM(I6:I9)</f>
        <v>0</v>
      </c>
      <c r="J12" s="474" t="e">
        <f>(I12+I16)/I26</f>
        <v>#DIV/0!</v>
      </c>
      <c r="K12" s="372" t="s">
        <v>256</v>
      </c>
      <c r="L12" s="373"/>
      <c r="M12" s="374"/>
    </row>
    <row r="13" spans="1:15" s="5" customFormat="1" ht="22.5" customHeight="1">
      <c r="A13" s="781"/>
      <c r="B13" s="86" t="s">
        <v>9</v>
      </c>
      <c r="C13" s="85">
        <f>'1.1 Détails Investissements'!B44+'1.1 Détails Investissements'!D44</f>
        <v>0</v>
      </c>
      <c r="D13" s="85">
        <f>'1.1 Détails Investissements'!E40</f>
        <v>0</v>
      </c>
      <c r="E13" s="85" t="e">
        <f>'1.1 Détails Investissements'!#REF!</f>
        <v>#REF!</v>
      </c>
      <c r="G13" s="785" t="s">
        <v>42</v>
      </c>
      <c r="H13" s="84" t="s">
        <v>275</v>
      </c>
      <c r="I13" s="85">
        <f>C26-I12-I14-I15-I16-I25</f>
        <v>0</v>
      </c>
      <c r="J13" s="475">
        <f>IF(J14&gt;0,I13-J14,0)</f>
        <v>0</v>
      </c>
      <c r="K13" s="472" t="s">
        <v>450</v>
      </c>
      <c r="L13" s="472"/>
      <c r="M13" s="473"/>
      <c r="N13" s="12"/>
      <c r="O13" s="12"/>
    </row>
    <row r="14" spans="1:15" s="5" customFormat="1" ht="22.5" customHeight="1">
      <c r="A14" s="781"/>
      <c r="B14" s="84" t="s">
        <v>10</v>
      </c>
      <c r="C14" s="85">
        <f>'1.1 Détails Investissements'!B53+'1.1 Détails Investissements'!D53</f>
        <v>0</v>
      </c>
      <c r="D14" s="85">
        <f>'1.1 Détails Investissements'!E44</f>
        <v>0</v>
      </c>
      <c r="E14" s="85" t="e">
        <f>'1.1 Détails Investissements'!#REF!</f>
        <v>#REF!</v>
      </c>
      <c r="G14" s="786"/>
      <c r="H14" s="520" t="s">
        <v>246</v>
      </c>
      <c r="I14" s="519"/>
      <c r="J14" s="475">
        <f>IF(I26&gt;45000,0,IF(I13/3&lt;2000,0,IF(I13/3&lt;7000,I13/3,7000)))</f>
        <v>0</v>
      </c>
      <c r="K14" s="472" t="s">
        <v>465</v>
      </c>
      <c r="L14" s="472"/>
      <c r="M14" s="125" t="s">
        <v>451</v>
      </c>
      <c r="N14" s="12"/>
      <c r="O14" s="12"/>
    </row>
    <row r="15" spans="1:15" s="5" customFormat="1" ht="22.5" customHeight="1" thickBot="1">
      <c r="A15" s="781"/>
      <c r="B15" s="84"/>
      <c r="C15" s="87"/>
      <c r="D15" s="85">
        <f>'1.1 Détails Investissements'!E53</f>
        <v>0</v>
      </c>
      <c r="E15" s="85" t="e">
        <f>'1.1 Détails Investissements'!#REF!</f>
        <v>#REF!</v>
      </c>
      <c r="G15" s="786"/>
      <c r="H15" s="520" t="s">
        <v>494</v>
      </c>
      <c r="I15" s="519"/>
      <c r="J15" s="12"/>
      <c r="K15" s="12"/>
      <c r="L15" s="12"/>
      <c r="M15" s="12"/>
      <c r="N15" s="12"/>
      <c r="O15" s="12"/>
    </row>
    <row r="16" spans="1:15" s="5" customFormat="1" ht="22.5" customHeight="1" thickBot="1">
      <c r="A16" s="782"/>
      <c r="B16" s="84" t="s">
        <v>190</v>
      </c>
      <c r="C16" s="85">
        <f>'1.1 Détails Investissements'!B60+'1.1 Détails Investissements'!D60</f>
        <v>0</v>
      </c>
      <c r="D16" s="87">
        <v>0.01</v>
      </c>
      <c r="E16" s="87">
        <v>0.01</v>
      </c>
      <c r="G16" s="786"/>
      <c r="H16" s="520" t="s">
        <v>43</v>
      </c>
      <c r="I16" s="519"/>
      <c r="J16" s="363"/>
      <c r="K16" s="364" t="s">
        <v>328</v>
      </c>
      <c r="L16" s="364"/>
      <c r="M16" s="616"/>
      <c r="N16" s="365" t="s">
        <v>329</v>
      </c>
      <c r="O16" s="479"/>
    </row>
    <row r="17" spans="1:15" s="5" customFormat="1" ht="22.5" customHeight="1">
      <c r="A17" s="788" t="s">
        <v>11</v>
      </c>
      <c r="B17" s="789"/>
      <c r="C17" s="88">
        <f>SUM(C6:C16)</f>
        <v>0</v>
      </c>
      <c r="D17" s="85">
        <f>'1.1 Détails Investissements'!E60</f>
        <v>0</v>
      </c>
      <c r="E17" s="85" t="e">
        <f>'1.1 Détails Investissements'!#REF!</f>
        <v>#REF!</v>
      </c>
      <c r="G17" s="786"/>
      <c r="H17" s="520"/>
      <c r="I17" s="519"/>
      <c r="J17" s="12"/>
      <c r="K17" s="12"/>
      <c r="L17" s="12"/>
      <c r="M17" s="12"/>
      <c r="N17" s="12"/>
      <c r="O17" s="12"/>
    </row>
    <row r="18" spans="1:15" s="5" customFormat="1" ht="22.5" customHeight="1">
      <c r="A18" s="780" t="s">
        <v>12</v>
      </c>
      <c r="B18" s="84" t="s">
        <v>338</v>
      </c>
      <c r="C18" s="85">
        <f>'1.2 Détails stocks'!D23+'1.2 Détails stocks'!G23</f>
        <v>0</v>
      </c>
      <c r="D18" s="88" t="e">
        <f>SUM(D6:D17)</f>
        <v>#REF!</v>
      </c>
      <c r="E18" s="88" t="e">
        <f>SUM(E6:E17)</f>
        <v>#REF!</v>
      </c>
      <c r="G18" s="787"/>
      <c r="H18" s="520"/>
      <c r="I18" s="519"/>
    </row>
    <row r="19" spans="1:15" s="5" customFormat="1" ht="22.5" customHeight="1">
      <c r="A19" s="781"/>
      <c r="B19" s="84" t="s">
        <v>339</v>
      </c>
      <c r="C19" s="85">
        <f>'1.2 Détails stocks'!C23+'1.2 Détails stocks'!F23</f>
        <v>0</v>
      </c>
      <c r="D19" s="377">
        <v>0</v>
      </c>
      <c r="E19" s="377">
        <v>0</v>
      </c>
      <c r="G19" s="790" t="s">
        <v>13</v>
      </c>
      <c r="H19" s="791"/>
      <c r="I19" s="88">
        <f>SUM(I13:I17)</f>
        <v>0</v>
      </c>
      <c r="J19" s="12"/>
      <c r="K19" s="12"/>
      <c r="L19" s="12"/>
      <c r="M19" s="12"/>
      <c r="N19" s="12"/>
      <c r="O19" s="12"/>
    </row>
    <row r="20" spans="1:15" s="5" customFormat="1" ht="22.5" customHeight="1">
      <c r="A20" s="781"/>
      <c r="B20" s="84"/>
      <c r="C20" s="87"/>
      <c r="D20" s="377">
        <v>0</v>
      </c>
      <c r="E20" s="377">
        <v>0</v>
      </c>
      <c r="G20" s="785" t="s">
        <v>44</v>
      </c>
      <c r="H20" s="520" t="s">
        <v>480</v>
      </c>
      <c r="I20" s="519"/>
      <c r="J20" s="12"/>
      <c r="K20" s="12"/>
      <c r="L20" s="12"/>
      <c r="M20" s="12"/>
      <c r="N20" s="12"/>
      <c r="O20" s="12"/>
    </row>
    <row r="21" spans="1:15" s="5" customFormat="1" ht="22.5" customHeight="1">
      <c r="A21" s="781"/>
      <c r="B21" s="104" t="s">
        <v>235</v>
      </c>
      <c r="C21" s="85">
        <f>'1.1 Détails Investissements'!C62</f>
        <v>0</v>
      </c>
      <c r="D21" s="377">
        <v>0</v>
      </c>
      <c r="E21" s="377">
        <v>0</v>
      </c>
      <c r="G21" s="786"/>
      <c r="H21" s="520" t="s">
        <v>45</v>
      </c>
      <c r="I21" s="519"/>
      <c r="K21" s="12"/>
      <c r="L21" s="12"/>
      <c r="M21" s="12"/>
      <c r="N21" s="12"/>
      <c r="O21" s="12"/>
    </row>
    <row r="22" spans="1:15" s="5" customFormat="1" ht="22.5" customHeight="1">
      <c r="A22" s="781"/>
      <c r="B22" s="104" t="s">
        <v>234</v>
      </c>
      <c r="C22" s="85">
        <f>'1.2 Détails stocks'!E23</f>
        <v>0</v>
      </c>
      <c r="D22" s="377">
        <v>0</v>
      </c>
      <c r="E22" s="377">
        <v>0</v>
      </c>
      <c r="G22" s="786"/>
      <c r="H22" s="520" t="s">
        <v>472</v>
      </c>
      <c r="I22" s="519"/>
      <c r="J22" s="12"/>
      <c r="K22" s="12"/>
      <c r="L22" s="12"/>
      <c r="M22" s="12"/>
      <c r="N22" s="12"/>
      <c r="O22" s="12"/>
    </row>
    <row r="23" spans="1:15" s="5" customFormat="1" ht="22.5" customHeight="1">
      <c r="A23" s="781"/>
      <c r="B23" s="84" t="s">
        <v>341</v>
      </c>
      <c r="C23" s="85">
        <f>'1.3 Ma trésorerie de départ'!D32</f>
        <v>0</v>
      </c>
      <c r="D23" s="377">
        <v>0</v>
      </c>
      <c r="E23" s="377">
        <v>0</v>
      </c>
      <c r="G23" s="786"/>
      <c r="H23" s="520" t="s">
        <v>0</v>
      </c>
      <c r="I23" s="519"/>
      <c r="J23" s="487" t="s">
        <v>471</v>
      </c>
      <c r="K23" s="12"/>
      <c r="L23" s="12"/>
      <c r="M23" s="12"/>
      <c r="N23" s="12"/>
      <c r="O23" s="12"/>
    </row>
    <row r="24" spans="1:15" s="5" customFormat="1" ht="25.5" customHeight="1">
      <c r="A24" s="782"/>
      <c r="B24" s="84" t="s">
        <v>342</v>
      </c>
      <c r="C24" s="85">
        <f>'1,31 BFR'!C58</f>
        <v>0</v>
      </c>
      <c r="D24" s="409"/>
      <c r="E24" s="409"/>
      <c r="G24" s="787"/>
      <c r="H24" s="521"/>
      <c r="I24" s="519"/>
    </row>
    <row r="25" spans="1:15" s="5" customFormat="1" ht="22.5" customHeight="1">
      <c r="A25" s="799" t="s">
        <v>13</v>
      </c>
      <c r="B25" s="789"/>
      <c r="C25" s="88">
        <f>SUM(C18:C24)</f>
        <v>0</v>
      </c>
      <c r="D25" s="377">
        <v>0</v>
      </c>
      <c r="E25" s="377">
        <v>0</v>
      </c>
      <c r="G25" s="790" t="s">
        <v>46</v>
      </c>
      <c r="H25" s="791"/>
      <c r="I25" s="88">
        <f>SUM(I20:I24)</f>
        <v>0</v>
      </c>
    </row>
    <row r="26" spans="1:15" s="5" customFormat="1" ht="22.5" customHeight="1">
      <c r="A26" s="800" t="s">
        <v>14</v>
      </c>
      <c r="B26" s="801"/>
      <c r="C26" s="245">
        <f>C17+C25</f>
        <v>0</v>
      </c>
      <c r="D26" s="88">
        <f>SUM(D19:D25)</f>
        <v>0</v>
      </c>
      <c r="E26" s="88">
        <f>SUM(E19:E25)</f>
        <v>0</v>
      </c>
      <c r="G26" s="802" t="s">
        <v>47</v>
      </c>
      <c r="H26" s="803"/>
      <c r="I26" s="245">
        <f>I12+I19+I25</f>
        <v>0</v>
      </c>
      <c r="J26" s="13"/>
      <c r="K26" s="13"/>
      <c r="L26" s="13"/>
      <c r="M26" s="13"/>
      <c r="N26" s="13"/>
      <c r="O26" s="13"/>
    </row>
    <row r="27" spans="1:15" ht="19.5">
      <c r="D27" s="486"/>
      <c r="E27" s="486"/>
    </row>
  </sheetData>
  <sheetProtection password="EFA0" sheet="1" objects="1" scenarios="1" formatCells="0" formatColumns="0"/>
  <mergeCells count="17">
    <mergeCell ref="A17:B17"/>
    <mergeCell ref="A25:B25"/>
    <mergeCell ref="A26:B26"/>
    <mergeCell ref="A18:A24"/>
    <mergeCell ref="G19:H19"/>
    <mergeCell ref="G20:G24"/>
    <mergeCell ref="G25:H25"/>
    <mergeCell ref="G26:H26"/>
    <mergeCell ref="G13:G18"/>
    <mergeCell ref="G1:I1"/>
    <mergeCell ref="G5:H5"/>
    <mergeCell ref="G12:H12"/>
    <mergeCell ref="A3:I3"/>
    <mergeCell ref="G6:G11"/>
    <mergeCell ref="A6:A16"/>
    <mergeCell ref="A1:C1"/>
    <mergeCell ref="A5:B5"/>
  </mergeCells>
  <phoneticPr fontId="0" type="noConversion"/>
  <printOptions horizontalCentered="1"/>
  <pageMargins left="0.25" right="0.25" top="0.75" bottom="0.75" header="0.3" footer="0.3"/>
  <pageSetup paperSize="9" scale="75" orientation="landscape" horizontalDpi="4294967294" verticalDpi="4294967294"/>
  <headerFooter alignWithMargins="0">
    <oddHeader>&amp;A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O27"/>
  <sheetViews>
    <sheetView showGridLines="0" zoomScale="75" zoomScaleNormal="75" workbookViewId="0">
      <selection activeCell="G27" sqref="G27"/>
    </sheetView>
  </sheetViews>
  <sheetFormatPr baseColWidth="10" defaultRowHeight="15"/>
  <cols>
    <col min="1" max="1" width="6.7109375" style="3" customWidth="1"/>
    <col min="2" max="2" width="47.7109375" style="4" customWidth="1"/>
    <col min="3" max="3" width="13.7109375" style="36" customWidth="1"/>
    <col min="4" max="4" width="13.28515625" style="3" hidden="1" customWidth="1"/>
    <col min="5" max="5" width="14" style="3" hidden="1" customWidth="1"/>
    <col min="6" max="6" width="2.42578125" style="3" customWidth="1"/>
    <col min="7" max="7" width="11.42578125" style="3"/>
    <col min="8" max="8" width="49.7109375" style="3" bestFit="1" customWidth="1"/>
    <col min="9" max="9" width="14.85546875" style="3" bestFit="1" customWidth="1"/>
    <col min="10" max="16384" width="11.42578125" style="3"/>
  </cols>
  <sheetData>
    <row r="1" spans="1:15" ht="22.5">
      <c r="A1" s="792" t="s">
        <v>384</v>
      </c>
      <c r="B1" s="793"/>
      <c r="C1" s="794"/>
      <c r="G1" s="792" t="s">
        <v>392</v>
      </c>
      <c r="H1" s="793"/>
      <c r="I1" s="794"/>
    </row>
    <row r="2" spans="1:15" ht="16.5">
      <c r="A2" s="78"/>
      <c r="B2" s="79"/>
      <c r="C2" s="80"/>
      <c r="G2" s="78"/>
      <c r="H2" s="79"/>
      <c r="I2" s="89"/>
    </row>
    <row r="3" spans="1:15" ht="22.5">
      <c r="A3" s="795" t="s">
        <v>411</v>
      </c>
      <c r="B3" s="795"/>
      <c r="C3" s="795"/>
      <c r="D3" s="795"/>
      <c r="E3" s="795"/>
      <c r="F3" s="795"/>
      <c r="G3" s="795"/>
      <c r="H3" s="795"/>
      <c r="I3" s="795"/>
      <c r="L3" s="410"/>
    </row>
    <row r="4" spans="1:15" ht="16.5">
      <c r="A4" s="78"/>
      <c r="B4" s="79"/>
      <c r="C4" s="80"/>
      <c r="G4" s="78"/>
      <c r="H4" s="79"/>
      <c r="I4" s="89"/>
    </row>
    <row r="5" spans="1:15" ht="35.25" customHeight="1" thickBot="1">
      <c r="A5" s="796" t="s">
        <v>1</v>
      </c>
      <c r="B5" s="796"/>
      <c r="C5" s="81" t="s">
        <v>247</v>
      </c>
      <c r="D5" s="81" t="s">
        <v>65</v>
      </c>
      <c r="E5" s="81" t="s">
        <v>51</v>
      </c>
      <c r="G5" s="797" t="s">
        <v>38</v>
      </c>
      <c r="H5" s="798"/>
      <c r="I5" s="90" t="s">
        <v>248</v>
      </c>
    </row>
    <row r="6" spans="1:15" s="5" customFormat="1" ht="22.5" customHeight="1" thickBot="1">
      <c r="A6" s="780" t="s">
        <v>2</v>
      </c>
      <c r="B6" s="84" t="s">
        <v>189</v>
      </c>
      <c r="C6" s="85">
        <f>'1.1 Détails Investissements'!B5+'1.1 Détails Investissements'!D5</f>
        <v>0</v>
      </c>
      <c r="D6" s="83" t="e">
        <f>'1.1 Détails Investissements'!#REF!</f>
        <v>#REF!</v>
      </c>
      <c r="E6" s="83" t="e">
        <f>'1.1 Détails Investissements'!#REF!</f>
        <v>#REF!</v>
      </c>
      <c r="G6" s="783" t="s">
        <v>39</v>
      </c>
      <c r="H6" s="84" t="s">
        <v>40</v>
      </c>
      <c r="I6" s="519"/>
      <c r="J6" s="363"/>
      <c r="K6" s="364" t="s">
        <v>328</v>
      </c>
      <c r="L6" s="364"/>
      <c r="M6" s="366"/>
      <c r="N6" s="365" t="s">
        <v>329</v>
      </c>
      <c r="O6" s="479"/>
    </row>
    <row r="7" spans="1:15" s="5" customFormat="1" ht="22.5" customHeight="1" thickBot="1">
      <c r="A7" s="781"/>
      <c r="B7" s="84" t="s">
        <v>3</v>
      </c>
      <c r="C7" s="85">
        <f>'1.1 Détails Investissements'!B10+'1.1 Détails Investissements'!D10</f>
        <v>0</v>
      </c>
      <c r="D7" s="85">
        <f>'1.1 Détails Investissements'!E5</f>
        <v>0</v>
      </c>
      <c r="E7" s="85" t="e">
        <f>'1.1 Détails Investissements'!#REF!</f>
        <v>#REF!</v>
      </c>
      <c r="G7" s="783"/>
      <c r="H7" s="84" t="s">
        <v>41</v>
      </c>
      <c r="I7" s="85">
        <f>'1.1 Détails Investissements'!D62+'1.2 Détails stocks'!F23+'1.2 Détails stocks'!G23</f>
        <v>0</v>
      </c>
      <c r="J7" s="364"/>
      <c r="K7" s="364" t="s">
        <v>328</v>
      </c>
      <c r="L7" s="364"/>
      <c r="M7" s="366"/>
      <c r="N7" s="365" t="s">
        <v>329</v>
      </c>
      <c r="O7" s="479"/>
    </row>
    <row r="8" spans="1:15" s="5" customFormat="1" ht="22.5" customHeight="1">
      <c r="A8" s="781"/>
      <c r="B8" s="84" t="s">
        <v>4</v>
      </c>
      <c r="C8" s="85">
        <f>'1.1 Détails Investissements'!B12+'1.1 Détails Investissements'!D12</f>
        <v>0</v>
      </c>
      <c r="D8" s="85">
        <f>'1.1 Détails Investissements'!E10</f>
        <v>0</v>
      </c>
      <c r="E8" s="85" t="e">
        <f>'1.1 Détails Investissements'!#REF!</f>
        <v>#REF!</v>
      </c>
      <c r="G8" s="783"/>
      <c r="H8" s="520" t="s">
        <v>274</v>
      </c>
      <c r="I8" s="519"/>
      <c r="J8" s="12"/>
      <c r="K8" s="12"/>
      <c r="L8" s="12"/>
      <c r="M8" s="12"/>
      <c r="N8" s="12"/>
      <c r="O8" s="12"/>
    </row>
    <row r="9" spans="1:15" s="5" customFormat="1" ht="22.5" customHeight="1">
      <c r="A9" s="781"/>
      <c r="B9" s="84" t="s">
        <v>5</v>
      </c>
      <c r="C9" s="85">
        <f>'1.1 Détails Investissements'!B14+'1.1 Détails Investissements'!D14</f>
        <v>0</v>
      </c>
      <c r="D9" s="85">
        <f>'1.1 Détails Investissements'!E12</f>
        <v>0</v>
      </c>
      <c r="E9" s="85" t="e">
        <f>'1.1 Détails Investissements'!#REF!</f>
        <v>#REF!</v>
      </c>
      <c r="G9" s="783"/>
      <c r="H9" s="520" t="s">
        <v>470</v>
      </c>
      <c r="I9" s="519"/>
      <c r="J9" s="12"/>
      <c r="K9" s="12"/>
      <c r="L9" s="12"/>
      <c r="M9" s="12"/>
      <c r="N9" s="12"/>
      <c r="O9" s="12"/>
    </row>
    <row r="10" spans="1:15" s="5" customFormat="1" ht="22.5" customHeight="1">
      <c r="A10" s="781"/>
      <c r="B10" s="86" t="s">
        <v>6</v>
      </c>
      <c r="C10" s="85">
        <f>'1.1 Détails Investissements'!B16+'1.1 Détails Investissements'!D16</f>
        <v>0</v>
      </c>
      <c r="D10" s="85">
        <f>'1.1 Détails Investissements'!E14</f>
        <v>0</v>
      </c>
      <c r="E10" s="85" t="e">
        <f>'1.1 Détails Investissements'!#REF!</f>
        <v>#REF!</v>
      </c>
      <c r="G10" s="783"/>
      <c r="H10" s="520"/>
      <c r="I10" s="519"/>
      <c r="J10" s="12"/>
      <c r="K10" s="12"/>
      <c r="L10" s="12"/>
      <c r="M10" s="12"/>
      <c r="N10" s="12"/>
      <c r="O10" s="12"/>
    </row>
    <row r="11" spans="1:15" s="5" customFormat="1" ht="22.5" customHeight="1" thickBot="1">
      <c r="A11" s="781"/>
      <c r="B11" s="86" t="s">
        <v>7</v>
      </c>
      <c r="C11" s="85">
        <f>'1.1 Détails Investissements'!B30+'1.1 Détails Investissements'!D30</f>
        <v>0</v>
      </c>
      <c r="D11" s="85">
        <f>'1.1 Détails Investissements'!E16</f>
        <v>0</v>
      </c>
      <c r="E11" s="85" t="e">
        <f>'1.1 Détails Investissements'!#REF!</f>
        <v>#REF!</v>
      </c>
      <c r="G11" s="783"/>
      <c r="H11" s="520"/>
      <c r="I11" s="519"/>
      <c r="J11" s="12"/>
      <c r="K11" s="12"/>
      <c r="L11" s="12"/>
      <c r="M11" s="12"/>
      <c r="N11" s="12"/>
      <c r="O11" s="12"/>
    </row>
    <row r="12" spans="1:15" s="5" customFormat="1" ht="22.5" customHeight="1" thickBot="1">
      <c r="A12" s="781"/>
      <c r="B12" s="84" t="s">
        <v>8</v>
      </c>
      <c r="C12" s="85">
        <f>'1.1 Détails Investissements'!B40+'1.1 Détails Investissements'!D40</f>
        <v>0</v>
      </c>
      <c r="D12" s="85">
        <f>'1.1 Détails Investissements'!E30</f>
        <v>0</v>
      </c>
      <c r="E12" s="85" t="e">
        <f>'1.1 Détails Investissements'!D30+'1.1 Détails Investissements'!#REF!</f>
        <v>#REF!</v>
      </c>
      <c r="F12" s="43"/>
      <c r="G12" s="784" t="s">
        <v>11</v>
      </c>
      <c r="H12" s="784"/>
      <c r="I12" s="300">
        <f>SUM(I6:I9)</f>
        <v>0</v>
      </c>
      <c r="J12" s="474" t="e">
        <f>(I12+I16)/I26</f>
        <v>#DIV/0!</v>
      </c>
      <c r="K12" s="372" t="s">
        <v>256</v>
      </c>
      <c r="L12" s="373"/>
      <c r="M12" s="374"/>
    </row>
    <row r="13" spans="1:15" s="5" customFormat="1" ht="22.5" customHeight="1">
      <c r="A13" s="781"/>
      <c r="B13" s="86" t="s">
        <v>9</v>
      </c>
      <c r="C13" s="85">
        <f>'1.1 Détails Investissements'!B44+'1.1 Détails Investissements'!D44</f>
        <v>0</v>
      </c>
      <c r="D13" s="85">
        <f>'1.1 Détails Investissements'!E40</f>
        <v>0</v>
      </c>
      <c r="E13" s="85" t="e">
        <f>'1.1 Détails Investissements'!#REF!</f>
        <v>#REF!</v>
      </c>
      <c r="G13" s="785" t="s">
        <v>42</v>
      </c>
      <c r="H13" s="84" t="s">
        <v>275</v>
      </c>
      <c r="I13" s="85">
        <f>C26-I12-I14-I15-I16-I25</f>
        <v>0</v>
      </c>
      <c r="J13" s="475">
        <f>IF(J14&gt;0,I13-J14,0)</f>
        <v>0</v>
      </c>
      <c r="K13" s="472" t="s">
        <v>450</v>
      </c>
      <c r="L13" s="472"/>
      <c r="M13" s="473"/>
      <c r="N13" s="12"/>
      <c r="O13" s="12"/>
    </row>
    <row r="14" spans="1:15" s="5" customFormat="1" ht="22.5" customHeight="1">
      <c r="A14" s="781"/>
      <c r="B14" s="84" t="s">
        <v>10</v>
      </c>
      <c r="C14" s="85">
        <f>'1.1 Détails Investissements'!B53+'1.1 Détails Investissements'!D53</f>
        <v>0</v>
      </c>
      <c r="D14" s="85">
        <f>'1.1 Détails Investissements'!E44</f>
        <v>0</v>
      </c>
      <c r="E14" s="85" t="e">
        <f>'1.1 Détails Investissements'!#REF!</f>
        <v>#REF!</v>
      </c>
      <c r="G14" s="786"/>
      <c r="H14" s="520" t="s">
        <v>246</v>
      </c>
      <c r="I14" s="519"/>
      <c r="J14" s="475">
        <f>IF(I26&gt;45000,0,IF(I13/3&lt;2000,0,IF(I13/3&lt;7000,I13/3,7000)))</f>
        <v>0</v>
      </c>
      <c r="K14" s="472" t="s">
        <v>465</v>
      </c>
      <c r="L14" s="472"/>
      <c r="M14" s="125" t="s">
        <v>451</v>
      </c>
      <c r="N14" s="12"/>
      <c r="O14" s="12"/>
    </row>
    <row r="15" spans="1:15" s="5" customFormat="1" ht="22.5" customHeight="1" thickBot="1">
      <c r="A15" s="781"/>
      <c r="B15" s="84"/>
      <c r="C15" s="87"/>
      <c r="D15" s="85">
        <f>'1.1 Détails Investissements'!E53</f>
        <v>0</v>
      </c>
      <c r="E15" s="85" t="e">
        <f>'1.1 Détails Investissements'!#REF!</f>
        <v>#REF!</v>
      </c>
      <c r="G15" s="786"/>
      <c r="H15" s="520" t="s">
        <v>494</v>
      </c>
      <c r="I15" s="519"/>
      <c r="J15" s="12"/>
      <c r="K15" s="12"/>
      <c r="L15" s="12"/>
      <c r="M15" s="12"/>
      <c r="N15" s="12"/>
      <c r="O15" s="12"/>
    </row>
    <row r="16" spans="1:15" s="5" customFormat="1" ht="22.5" customHeight="1" thickBot="1">
      <c r="A16" s="782"/>
      <c r="B16" s="84" t="s">
        <v>190</v>
      </c>
      <c r="C16" s="85">
        <f>'1.1 Détails Investissements'!B60+'1.1 Détails Investissements'!D60</f>
        <v>0</v>
      </c>
      <c r="D16" s="87">
        <v>0.01</v>
      </c>
      <c r="E16" s="87">
        <v>0.01</v>
      </c>
      <c r="G16" s="786"/>
      <c r="H16" s="520" t="s">
        <v>43</v>
      </c>
      <c r="I16" s="519"/>
      <c r="J16" s="363"/>
      <c r="K16" s="364" t="s">
        <v>328</v>
      </c>
      <c r="L16" s="364"/>
      <c r="M16" s="366"/>
      <c r="N16" s="365" t="s">
        <v>329</v>
      </c>
      <c r="O16" s="479"/>
    </row>
    <row r="17" spans="1:15" s="5" customFormat="1" ht="22.5" customHeight="1">
      <c r="A17" s="788" t="s">
        <v>11</v>
      </c>
      <c r="B17" s="789"/>
      <c r="C17" s="88">
        <f>SUM(C6:C16)</f>
        <v>0</v>
      </c>
      <c r="D17" s="85">
        <f>'1.1 Détails Investissements'!E60</f>
        <v>0</v>
      </c>
      <c r="E17" s="85" t="e">
        <f>'1.1 Détails Investissements'!#REF!</f>
        <v>#REF!</v>
      </c>
      <c r="G17" s="786"/>
      <c r="H17" s="520"/>
      <c r="I17" s="519"/>
      <c r="J17" s="12"/>
      <c r="K17" s="12"/>
      <c r="L17" s="12"/>
      <c r="M17" s="12"/>
      <c r="N17" s="12"/>
      <c r="O17" s="12"/>
    </row>
    <row r="18" spans="1:15" s="5" customFormat="1" ht="22.5" customHeight="1">
      <c r="A18" s="780" t="s">
        <v>12</v>
      </c>
      <c r="B18" s="84" t="s">
        <v>338</v>
      </c>
      <c r="C18" s="85">
        <f>'1.2 Détails stocks'!D23+'1.2 Détails stocks'!G23</f>
        <v>0</v>
      </c>
      <c r="D18" s="88" t="e">
        <f>SUM(D6:D17)</f>
        <v>#REF!</v>
      </c>
      <c r="E18" s="88" t="e">
        <f>SUM(E6:E17)</f>
        <v>#REF!</v>
      </c>
      <c r="G18" s="787"/>
      <c r="H18" s="520"/>
      <c r="I18" s="519"/>
    </row>
    <row r="19" spans="1:15" s="5" customFormat="1" ht="22.5" customHeight="1">
      <c r="A19" s="781"/>
      <c r="B19" s="84" t="s">
        <v>339</v>
      </c>
      <c r="C19" s="85">
        <f>'1.2 Détails stocks'!C23+'1.2 Détails stocks'!F23</f>
        <v>0</v>
      </c>
      <c r="D19" s="377">
        <v>0</v>
      </c>
      <c r="E19" s="377">
        <v>0</v>
      </c>
      <c r="G19" s="790" t="s">
        <v>13</v>
      </c>
      <c r="H19" s="791"/>
      <c r="I19" s="88">
        <f>SUM(I13:I17)</f>
        <v>0</v>
      </c>
      <c r="J19" s="12"/>
      <c r="K19" s="12"/>
      <c r="L19" s="12"/>
      <c r="M19" s="12"/>
      <c r="N19" s="12"/>
      <c r="O19" s="12"/>
    </row>
    <row r="20" spans="1:15" s="5" customFormat="1" ht="22.5" customHeight="1">
      <c r="A20" s="781"/>
      <c r="B20" s="84"/>
      <c r="C20" s="87"/>
      <c r="D20" s="377">
        <v>0</v>
      </c>
      <c r="E20" s="377">
        <v>0</v>
      </c>
      <c r="G20" s="785" t="s">
        <v>44</v>
      </c>
      <c r="H20" s="520" t="s">
        <v>480</v>
      </c>
      <c r="I20" s="519"/>
      <c r="J20" s="12"/>
      <c r="K20" s="12"/>
      <c r="L20" s="12"/>
      <c r="M20" s="12"/>
      <c r="N20" s="12"/>
      <c r="O20" s="12"/>
    </row>
    <row r="21" spans="1:15" s="5" customFormat="1" ht="22.5" customHeight="1">
      <c r="A21" s="781"/>
      <c r="B21" s="104" t="s">
        <v>235</v>
      </c>
      <c r="C21" s="85">
        <f>'1.1 Détails Investissements'!C62</f>
        <v>0</v>
      </c>
      <c r="D21" s="377">
        <v>0</v>
      </c>
      <c r="E21" s="377">
        <v>0</v>
      </c>
      <c r="G21" s="786"/>
      <c r="H21" s="520" t="s">
        <v>45</v>
      </c>
      <c r="I21" s="519"/>
      <c r="K21" s="12"/>
      <c r="L21" s="12"/>
      <c r="M21" s="12"/>
      <c r="N21" s="12"/>
      <c r="O21" s="12"/>
    </row>
    <row r="22" spans="1:15" s="5" customFormat="1" ht="22.5" customHeight="1">
      <c r="A22" s="781"/>
      <c r="B22" s="104" t="s">
        <v>234</v>
      </c>
      <c r="C22" s="85">
        <f>'1.2 Détails stocks'!E23</f>
        <v>0</v>
      </c>
      <c r="D22" s="377">
        <v>0</v>
      </c>
      <c r="E22" s="377">
        <v>0</v>
      </c>
      <c r="G22" s="786"/>
      <c r="H22" s="520" t="s">
        <v>472</v>
      </c>
      <c r="I22" s="519"/>
      <c r="J22" s="12"/>
      <c r="K22" s="12"/>
      <c r="L22" s="12"/>
      <c r="M22" s="12"/>
      <c r="N22" s="12"/>
      <c r="O22" s="12"/>
    </row>
    <row r="23" spans="1:15" s="5" customFormat="1" ht="22.5" customHeight="1">
      <c r="A23" s="781"/>
      <c r="B23" s="84" t="s">
        <v>341</v>
      </c>
      <c r="C23" s="85">
        <f>'1.3 Ma trésorerie de départ'!D32</f>
        <v>0</v>
      </c>
      <c r="D23" s="377">
        <v>0</v>
      </c>
      <c r="E23" s="377">
        <v>0</v>
      </c>
      <c r="G23" s="786"/>
      <c r="H23" s="520" t="s">
        <v>0</v>
      </c>
      <c r="I23" s="519"/>
      <c r="J23" s="487" t="s">
        <v>471</v>
      </c>
      <c r="K23" s="12"/>
      <c r="L23" s="12"/>
      <c r="M23" s="12"/>
      <c r="N23" s="12"/>
      <c r="O23" s="12"/>
    </row>
    <row r="24" spans="1:15" s="5" customFormat="1" ht="25.5" customHeight="1">
      <c r="A24" s="782"/>
      <c r="B24" s="84" t="s">
        <v>342</v>
      </c>
      <c r="C24" s="85">
        <f>'1,31 BFR'!C58</f>
        <v>0</v>
      </c>
      <c r="D24" s="409"/>
      <c r="E24" s="409"/>
      <c r="G24" s="787"/>
      <c r="H24" s="521"/>
      <c r="I24" s="519"/>
    </row>
    <row r="25" spans="1:15" s="5" customFormat="1" ht="22.5" customHeight="1">
      <c r="A25" s="799" t="s">
        <v>13</v>
      </c>
      <c r="B25" s="789"/>
      <c r="C25" s="88">
        <f>SUM(C18:C24)</f>
        <v>0</v>
      </c>
      <c r="D25" s="377">
        <v>0</v>
      </c>
      <c r="E25" s="377">
        <v>0</v>
      </c>
      <c r="G25" s="790" t="s">
        <v>46</v>
      </c>
      <c r="H25" s="791"/>
      <c r="I25" s="88">
        <f>SUM(I20:I24)</f>
        <v>0</v>
      </c>
    </row>
    <row r="26" spans="1:15" s="5" customFormat="1" ht="22.5" customHeight="1">
      <c r="A26" s="800" t="s">
        <v>14</v>
      </c>
      <c r="B26" s="801"/>
      <c r="C26" s="245">
        <f>C17+C25</f>
        <v>0</v>
      </c>
      <c r="D26" s="88">
        <f>SUM(D19:D25)</f>
        <v>0</v>
      </c>
      <c r="E26" s="88">
        <f>SUM(E19:E25)</f>
        <v>0</v>
      </c>
      <c r="G26" s="802" t="s">
        <v>47</v>
      </c>
      <c r="H26" s="803"/>
      <c r="I26" s="245">
        <f>I12+I19+I25</f>
        <v>0</v>
      </c>
      <c r="J26" s="13"/>
      <c r="K26" s="13"/>
      <c r="L26" s="13"/>
      <c r="M26" s="13"/>
      <c r="N26" s="13"/>
      <c r="O26" s="13"/>
    </row>
    <row r="27" spans="1:15" ht="19.5">
      <c r="D27" s="486"/>
      <c r="E27" s="486"/>
    </row>
  </sheetData>
  <sheetProtection password="F060" sheet="1" objects="1" scenarios="1"/>
  <mergeCells count="17">
    <mergeCell ref="A25:B25"/>
    <mergeCell ref="G25:H25"/>
    <mergeCell ref="A26:B26"/>
    <mergeCell ref="G26:H26"/>
    <mergeCell ref="G20:G24"/>
    <mergeCell ref="A1:C1"/>
    <mergeCell ref="G1:I1"/>
    <mergeCell ref="A3:I3"/>
    <mergeCell ref="A5:B5"/>
    <mergeCell ref="G5:H5"/>
    <mergeCell ref="A6:A16"/>
    <mergeCell ref="G6:G11"/>
    <mergeCell ref="G12:H12"/>
    <mergeCell ref="G13:G18"/>
    <mergeCell ref="A17:B17"/>
    <mergeCell ref="A18:A24"/>
    <mergeCell ref="G19:H19"/>
  </mergeCells>
  <printOptions horizontalCentered="1"/>
  <pageMargins left="0.25" right="0.25" top="0.75" bottom="0.75" header="0.3" footer="0.3"/>
  <pageSetup paperSize="9" scale="75" orientation="landscape" horizontalDpi="4294967294"/>
  <headerFooter alignWithMargins="0">
    <oddHeader>&amp;A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2" enableFormatConditionsCalculation="0">
    <tabColor indexed="50"/>
  </sheetPr>
  <dimension ref="A1:J372"/>
  <sheetViews>
    <sheetView showGridLines="0" topLeftCell="A46" zoomScaleNormal="100" workbookViewId="0">
      <selection activeCell="G6" sqref="G6:G11"/>
    </sheetView>
  </sheetViews>
  <sheetFormatPr baseColWidth="10" defaultRowHeight="12.75"/>
  <cols>
    <col min="1" max="1" width="33.42578125" style="6" customWidth="1"/>
    <col min="2" max="2" width="11.42578125" style="37"/>
    <col min="3" max="3" width="9.42578125" style="37" customWidth="1"/>
    <col min="4" max="5" width="11.28515625" style="6" customWidth="1"/>
    <col min="6" max="6" width="15.140625" style="6" customWidth="1"/>
    <col min="7" max="16384" width="11.42578125" style="6"/>
  </cols>
  <sheetData>
    <row r="1" spans="1:10" ht="22.5">
      <c r="A1" s="805" t="s">
        <v>460</v>
      </c>
      <c r="B1" s="806"/>
      <c r="C1" s="806"/>
      <c r="D1" s="806"/>
      <c r="E1" s="806"/>
      <c r="F1" s="532"/>
      <c r="G1" s="532"/>
      <c r="H1" s="532"/>
      <c r="I1" s="532"/>
      <c r="J1" s="532"/>
    </row>
    <row r="2" spans="1:10" ht="15">
      <c r="A2" s="533"/>
      <c r="B2" s="534"/>
      <c r="C2" s="535"/>
      <c r="D2" s="533"/>
      <c r="E2" s="532"/>
      <c r="F2" s="532"/>
      <c r="G2" s="532"/>
      <c r="H2" s="532"/>
      <c r="I2" s="532"/>
      <c r="J2" s="532"/>
    </row>
    <row r="3" spans="1:10" ht="18.75" customHeight="1">
      <c r="A3" s="804" t="str">
        <f>'1.0 Plan de financement'!A3:C3</f>
        <v>NOM DOSSIER</v>
      </c>
      <c r="B3" s="804"/>
      <c r="C3" s="536"/>
      <c r="D3" s="537"/>
      <c r="E3" s="532"/>
      <c r="F3" s="532"/>
      <c r="G3" s="532"/>
      <c r="H3" s="532"/>
      <c r="I3" s="532"/>
      <c r="J3" s="532"/>
    </row>
    <row r="4" spans="1:10" ht="20.25" customHeight="1">
      <c r="A4" s="533"/>
      <c r="B4" s="538" t="s">
        <v>185</v>
      </c>
      <c r="C4" s="538" t="s">
        <v>191</v>
      </c>
      <c r="D4" s="539" t="s">
        <v>391</v>
      </c>
      <c r="E4" s="540" t="s">
        <v>65</v>
      </c>
      <c r="F4" s="532"/>
      <c r="G4" s="532"/>
      <c r="H4" s="532"/>
      <c r="I4" s="532"/>
      <c r="J4" s="532"/>
    </row>
    <row r="5" spans="1:10" s="8" customFormat="1" ht="21" customHeight="1">
      <c r="A5" s="541" t="s">
        <v>385</v>
      </c>
      <c r="B5" s="542">
        <f>SUM(B6:B9)</f>
        <v>0</v>
      </c>
      <c r="C5" s="542">
        <f>SUM(C6:C9)</f>
        <v>0</v>
      </c>
      <c r="D5" s="542">
        <f>SUM(D6:D9)</f>
        <v>0</v>
      </c>
      <c r="E5" s="542">
        <f>SUM(E6:E9)</f>
        <v>0</v>
      </c>
      <c r="F5" s="543"/>
      <c r="G5" s="543"/>
      <c r="H5" s="543"/>
      <c r="I5" s="543"/>
      <c r="J5" s="544"/>
    </row>
    <row r="6" spans="1:10" s="523" customFormat="1" ht="21" customHeight="1">
      <c r="A6" s="522"/>
      <c r="B6" s="490"/>
      <c r="C6" s="529">
        <f>B6*20%</f>
        <v>0</v>
      </c>
      <c r="D6" s="490"/>
      <c r="E6" s="490"/>
      <c r="H6" s="543"/>
      <c r="I6" s="543"/>
      <c r="J6" s="544"/>
    </row>
    <row r="7" spans="1:10" s="523" customFormat="1" ht="21" customHeight="1">
      <c r="A7" s="522"/>
      <c r="B7" s="490"/>
      <c r="C7" s="529">
        <f>B7*20%</f>
        <v>0</v>
      </c>
      <c r="D7" s="490"/>
      <c r="E7" s="490"/>
      <c r="H7" s="543"/>
      <c r="I7" s="543"/>
      <c r="J7" s="544"/>
    </row>
    <row r="8" spans="1:10" s="523" customFormat="1" ht="21" customHeight="1">
      <c r="A8" s="522"/>
      <c r="B8" s="490"/>
      <c r="C8" s="529">
        <f>B8*20%</f>
        <v>0</v>
      </c>
      <c r="D8" s="490"/>
      <c r="E8" s="490"/>
      <c r="H8" s="543"/>
      <c r="I8" s="543"/>
      <c r="J8" s="544"/>
    </row>
    <row r="9" spans="1:10" s="523" customFormat="1" ht="21" customHeight="1">
      <c r="A9" s="524"/>
      <c r="B9" s="77"/>
      <c r="C9" s="529">
        <f>B9*20%</f>
        <v>0</v>
      </c>
      <c r="D9" s="77"/>
      <c r="E9" s="77"/>
      <c r="H9" s="543"/>
      <c r="I9" s="543"/>
      <c r="J9" s="543"/>
    </row>
    <row r="10" spans="1:10" s="8" customFormat="1" ht="21" customHeight="1">
      <c r="A10" s="541" t="s">
        <v>386</v>
      </c>
      <c r="B10" s="542">
        <f>SUM(B11:B11)</f>
        <v>0</v>
      </c>
      <c r="C10" s="542" t="s">
        <v>0</v>
      </c>
      <c r="D10" s="542">
        <f>SUM(D11:D11)</f>
        <v>0</v>
      </c>
      <c r="E10" s="542">
        <f>SUM(E11:E11)</f>
        <v>0</v>
      </c>
      <c r="F10" s="527" t="s">
        <v>344</v>
      </c>
      <c r="G10" s="545"/>
      <c r="H10" s="545"/>
      <c r="I10" s="545"/>
      <c r="J10" s="528"/>
    </row>
    <row r="11" spans="1:10" s="8" customFormat="1" ht="21" customHeight="1">
      <c r="A11" s="524"/>
      <c r="B11" s="77"/>
      <c r="C11" s="546"/>
      <c r="D11" s="77"/>
      <c r="E11" s="77"/>
      <c r="F11" s="527" t="s">
        <v>343</v>
      </c>
      <c r="G11" s="545"/>
      <c r="H11" s="545"/>
      <c r="I11" s="545"/>
      <c r="J11" s="528"/>
    </row>
    <row r="12" spans="1:10" s="8" customFormat="1" ht="21" customHeight="1">
      <c r="A12" s="541" t="s">
        <v>387</v>
      </c>
      <c r="B12" s="542">
        <f>SUM(B13:B13)</f>
        <v>0</v>
      </c>
      <c r="C12" s="542"/>
      <c r="D12" s="542">
        <f>SUM(D13:D13)</f>
        <v>0</v>
      </c>
      <c r="E12" s="542">
        <f>SUM(E13:E13)</f>
        <v>0</v>
      </c>
      <c r="F12" s="545"/>
      <c r="G12" s="528"/>
      <c r="H12" s="528"/>
      <c r="I12" s="528"/>
      <c r="J12" s="528"/>
    </row>
    <row r="13" spans="1:10" s="8" customFormat="1" ht="21" customHeight="1">
      <c r="A13" s="524"/>
      <c r="B13" s="77"/>
      <c r="C13" s="546"/>
      <c r="D13" s="77"/>
      <c r="E13" s="77"/>
      <c r="F13" s="527" t="s">
        <v>303</v>
      </c>
      <c r="G13" s="547">
        <f>IF((B10+D10+B12+D12)&lt;23000,0,((B10+D10+B12+D12)-23000)*5%)</f>
        <v>0</v>
      </c>
      <c r="H13" s="528"/>
      <c r="I13" s="528"/>
      <c r="J13" s="528"/>
    </row>
    <row r="14" spans="1:10" s="8" customFormat="1" ht="21" customHeight="1">
      <c r="A14" s="541" t="s">
        <v>15</v>
      </c>
      <c r="B14" s="542">
        <f>SUM(B15:B15)</f>
        <v>0</v>
      </c>
      <c r="C14" s="542">
        <f>SUM(C15:C15)</f>
        <v>0</v>
      </c>
      <c r="D14" s="542">
        <f>SUM(D15:D15)</f>
        <v>0</v>
      </c>
      <c r="E14" s="542">
        <f>SUM(E15:E15)</f>
        <v>0</v>
      </c>
      <c r="F14" s="523"/>
      <c r="G14" s="523"/>
      <c r="H14" s="543"/>
      <c r="I14" s="543"/>
      <c r="J14" s="543"/>
    </row>
    <row r="15" spans="1:10" s="8" customFormat="1" ht="21" customHeight="1">
      <c r="A15" s="524"/>
      <c r="B15" s="77"/>
      <c r="C15" s="529">
        <f>B15*20%</f>
        <v>0</v>
      </c>
      <c r="D15" s="77"/>
      <c r="E15" s="77"/>
      <c r="F15" s="523"/>
      <c r="G15" s="523"/>
      <c r="H15" s="543"/>
      <c r="I15" s="543"/>
      <c r="J15" s="543"/>
    </row>
    <row r="16" spans="1:10" s="8" customFormat="1" ht="21" customHeight="1">
      <c r="A16" s="541" t="s">
        <v>16</v>
      </c>
      <c r="B16" s="542">
        <f>SUM(B17:B29)</f>
        <v>0</v>
      </c>
      <c r="C16" s="542">
        <f>SUM(C17:C29)</f>
        <v>0</v>
      </c>
      <c r="D16" s="542">
        <f>SUM(D17:D29)</f>
        <v>0</v>
      </c>
      <c r="E16" s="542">
        <f>SUM(E17:E29)</f>
        <v>0</v>
      </c>
      <c r="F16" s="523"/>
      <c r="G16" s="523"/>
      <c r="H16" s="543"/>
      <c r="I16" s="543"/>
      <c r="J16" s="543"/>
    </row>
    <row r="17" spans="1:10" s="523" customFormat="1" ht="21" customHeight="1">
      <c r="A17" s="524"/>
      <c r="B17" s="77"/>
      <c r="C17" s="529">
        <f>B17*20%</f>
        <v>0</v>
      </c>
      <c r="D17" s="77"/>
      <c r="E17" s="77"/>
      <c r="H17" s="543"/>
      <c r="I17" s="543"/>
      <c r="J17" s="543"/>
    </row>
    <row r="18" spans="1:10" s="523" customFormat="1" ht="21" customHeight="1">
      <c r="A18" s="524"/>
      <c r="B18" s="77"/>
      <c r="C18" s="529">
        <f t="shared" ref="C18:C29" si="0">B18*20%</f>
        <v>0</v>
      </c>
      <c r="D18" s="77"/>
      <c r="E18" s="77"/>
      <c r="F18" s="614"/>
      <c r="G18" s="615"/>
      <c r="H18" s="544"/>
      <c r="I18" s="544"/>
      <c r="J18" s="544"/>
    </row>
    <row r="19" spans="1:10" s="523" customFormat="1" ht="21" customHeight="1">
      <c r="A19" s="524"/>
      <c r="B19" s="77"/>
      <c r="C19" s="529">
        <f t="shared" si="0"/>
        <v>0</v>
      </c>
      <c r="D19" s="77"/>
      <c r="E19" s="77"/>
      <c r="F19" s="614"/>
      <c r="G19" s="615"/>
      <c r="H19" s="544"/>
      <c r="I19" s="544"/>
      <c r="J19" s="544"/>
    </row>
    <row r="20" spans="1:10" s="523" customFormat="1" ht="21" customHeight="1">
      <c r="A20" s="524"/>
      <c r="B20" s="77"/>
      <c r="C20" s="529">
        <f t="shared" si="0"/>
        <v>0</v>
      </c>
      <c r="D20" s="77"/>
      <c r="E20" s="77"/>
      <c r="F20" s="614"/>
      <c r="G20" s="615"/>
      <c r="H20" s="544"/>
      <c r="I20" s="544"/>
      <c r="J20" s="544"/>
    </row>
    <row r="21" spans="1:10" s="523" customFormat="1" ht="21" customHeight="1">
      <c r="A21" s="524"/>
      <c r="B21" s="77"/>
      <c r="C21" s="529">
        <f t="shared" si="0"/>
        <v>0</v>
      </c>
      <c r="D21" s="77"/>
      <c r="E21" s="77"/>
      <c r="F21" s="614"/>
      <c r="G21" s="615"/>
      <c r="H21" s="544"/>
      <c r="I21" s="544"/>
      <c r="J21" s="544"/>
    </row>
    <row r="22" spans="1:10" s="523" customFormat="1" ht="21" customHeight="1">
      <c r="A22" s="524"/>
      <c r="B22" s="77"/>
      <c r="C22" s="529">
        <f t="shared" si="0"/>
        <v>0</v>
      </c>
      <c r="D22" s="77"/>
      <c r="E22" s="77"/>
      <c r="F22" s="614"/>
      <c r="G22" s="615"/>
      <c r="H22" s="544"/>
      <c r="I22" s="544"/>
      <c r="J22" s="544"/>
    </row>
    <row r="23" spans="1:10" s="523" customFormat="1" ht="21" customHeight="1">
      <c r="A23" s="524"/>
      <c r="B23" s="77"/>
      <c r="C23" s="529">
        <f t="shared" si="0"/>
        <v>0</v>
      </c>
      <c r="D23" s="77"/>
      <c r="E23" s="77"/>
      <c r="F23" s="614"/>
      <c r="G23" s="615"/>
      <c r="H23" s="544"/>
      <c r="I23" s="544"/>
      <c r="J23" s="544"/>
    </row>
    <row r="24" spans="1:10" s="523" customFormat="1" ht="21" customHeight="1">
      <c r="A24" s="524"/>
      <c r="B24" s="77"/>
      <c r="C24" s="529">
        <f t="shared" si="0"/>
        <v>0</v>
      </c>
      <c r="D24" s="77"/>
      <c r="E24" s="77"/>
      <c r="F24" s="614"/>
      <c r="G24" s="615"/>
      <c r="H24" s="544"/>
      <c r="I24" s="544"/>
      <c r="J24" s="544"/>
    </row>
    <row r="25" spans="1:10" s="523" customFormat="1" ht="21" customHeight="1">
      <c r="A25" s="524"/>
      <c r="B25" s="77"/>
      <c r="C25" s="529">
        <f t="shared" si="0"/>
        <v>0</v>
      </c>
      <c r="D25" s="77"/>
      <c r="E25" s="77"/>
      <c r="F25" s="614"/>
      <c r="G25" s="615"/>
      <c r="H25" s="544"/>
      <c r="I25" s="544"/>
      <c r="J25" s="544"/>
    </row>
    <row r="26" spans="1:10" s="523" customFormat="1" ht="21" customHeight="1">
      <c r="A26" s="524"/>
      <c r="B26" s="77"/>
      <c r="C26" s="529">
        <f t="shared" si="0"/>
        <v>0</v>
      </c>
      <c r="D26" s="77"/>
      <c r="E26" s="77"/>
      <c r="F26" s="614"/>
      <c r="G26" s="615"/>
      <c r="H26" s="544"/>
      <c r="I26" s="544"/>
      <c r="J26" s="544"/>
    </row>
    <row r="27" spans="1:10" s="523" customFormat="1" ht="21" customHeight="1">
      <c r="A27" s="524"/>
      <c r="B27" s="77"/>
      <c r="C27" s="529">
        <f t="shared" si="0"/>
        <v>0</v>
      </c>
      <c r="D27" s="77"/>
      <c r="E27" s="77"/>
      <c r="F27" s="527" t="s">
        <v>415</v>
      </c>
      <c r="G27" s="528"/>
      <c r="H27" s="528"/>
      <c r="I27" s="528"/>
      <c r="J27" s="528"/>
    </row>
    <row r="28" spans="1:10" s="523" customFormat="1" ht="21" customHeight="1" thickBot="1">
      <c r="A28" s="524"/>
      <c r="B28" s="77"/>
      <c r="C28" s="529">
        <f t="shared" si="0"/>
        <v>0</v>
      </c>
      <c r="D28" s="77"/>
      <c r="E28" s="77"/>
      <c r="F28" s="527" t="s">
        <v>414</v>
      </c>
      <c r="G28" s="528"/>
      <c r="H28" s="528"/>
      <c r="I28" s="528"/>
      <c r="J28" s="528"/>
    </row>
    <row r="29" spans="1:10" s="523" customFormat="1" ht="21" customHeight="1" thickBot="1">
      <c r="A29" s="524"/>
      <c r="B29" s="77"/>
      <c r="C29" s="529">
        <f t="shared" si="0"/>
        <v>0</v>
      </c>
      <c r="D29" s="77"/>
      <c r="E29" s="77"/>
      <c r="F29" s="527" t="s">
        <v>473</v>
      </c>
      <c r="G29" s="528"/>
      <c r="H29" s="525"/>
      <c r="I29" s="527" t="s">
        <v>474</v>
      </c>
      <c r="J29" s="528"/>
    </row>
    <row r="30" spans="1:10" s="8" customFormat="1" ht="21" customHeight="1">
      <c r="A30" s="541" t="s">
        <v>390</v>
      </c>
      <c r="B30" s="542">
        <f>SUM(B31:B39)</f>
        <v>0</v>
      </c>
      <c r="C30" s="542">
        <f>SUM(C31:C39)</f>
        <v>0</v>
      </c>
      <c r="D30" s="542">
        <f>SUM(D31:D39)</f>
        <v>0</v>
      </c>
      <c r="E30" s="542">
        <f>SUM(E31:E39)</f>
        <v>0</v>
      </c>
      <c r="F30" s="523"/>
      <c r="G30" s="523"/>
      <c r="H30" s="523"/>
      <c r="I30" s="543"/>
      <c r="J30" s="543"/>
    </row>
    <row r="31" spans="1:10" s="523" customFormat="1" ht="21" customHeight="1">
      <c r="A31" s="524"/>
      <c r="B31" s="77"/>
      <c r="C31" s="529">
        <f>B31*20%</f>
        <v>0</v>
      </c>
      <c r="D31" s="77"/>
      <c r="E31" s="77"/>
      <c r="I31" s="543"/>
      <c r="J31" s="543"/>
    </row>
    <row r="32" spans="1:10" s="523" customFormat="1" ht="21" customHeight="1">
      <c r="A32" s="524"/>
      <c r="B32" s="524"/>
      <c r="C32" s="529">
        <f t="shared" ref="C32:C39" si="1">B32*20%</f>
        <v>0</v>
      </c>
      <c r="D32" s="77"/>
      <c r="E32" s="77"/>
      <c r="I32" s="543"/>
      <c r="J32" s="543"/>
    </row>
    <row r="33" spans="1:10" s="523" customFormat="1" ht="21" customHeight="1">
      <c r="A33" s="524"/>
      <c r="B33" s="524"/>
      <c r="C33" s="529">
        <f t="shared" si="1"/>
        <v>0</v>
      </c>
      <c r="D33" s="77"/>
      <c r="E33" s="77"/>
      <c r="I33" s="543"/>
      <c r="J33" s="543"/>
    </row>
    <row r="34" spans="1:10" s="523" customFormat="1" ht="21" customHeight="1">
      <c r="A34" s="524"/>
      <c r="B34" s="524"/>
      <c r="C34" s="529">
        <f t="shared" si="1"/>
        <v>0</v>
      </c>
      <c r="D34" s="77"/>
      <c r="E34" s="77"/>
      <c r="I34" s="543"/>
      <c r="J34" s="543"/>
    </row>
    <row r="35" spans="1:10" s="523" customFormat="1" ht="21" customHeight="1">
      <c r="A35" s="524"/>
      <c r="B35" s="524"/>
      <c r="C35" s="529">
        <f t="shared" si="1"/>
        <v>0</v>
      </c>
      <c r="D35" s="77"/>
      <c r="E35" s="77"/>
      <c r="I35" s="543"/>
      <c r="J35" s="543"/>
    </row>
    <row r="36" spans="1:10" s="523" customFormat="1" ht="21" customHeight="1">
      <c r="A36" s="524"/>
      <c r="B36" s="524"/>
      <c r="C36" s="529">
        <f t="shared" si="1"/>
        <v>0</v>
      </c>
      <c r="D36" s="77"/>
      <c r="E36" s="77"/>
      <c r="I36" s="543"/>
      <c r="J36" s="543"/>
    </row>
    <row r="37" spans="1:10" s="523" customFormat="1" ht="21.75" customHeight="1">
      <c r="A37" s="524"/>
      <c r="B37" s="526"/>
      <c r="C37" s="529">
        <f t="shared" si="1"/>
        <v>0</v>
      </c>
      <c r="D37" s="77"/>
      <c r="E37" s="77"/>
      <c r="I37" s="543"/>
      <c r="J37" s="543"/>
    </row>
    <row r="38" spans="1:10" s="523" customFormat="1" ht="21" customHeight="1">
      <c r="A38" s="524"/>
      <c r="B38" s="77"/>
      <c r="C38" s="529">
        <f t="shared" si="1"/>
        <v>0</v>
      </c>
      <c r="D38" s="77"/>
      <c r="E38" s="77"/>
      <c r="I38" s="543"/>
      <c r="J38" s="543"/>
    </row>
    <row r="39" spans="1:10" s="523" customFormat="1" ht="21" customHeight="1">
      <c r="A39" s="524"/>
      <c r="B39" s="524"/>
      <c r="C39" s="529">
        <f t="shared" si="1"/>
        <v>0</v>
      </c>
      <c r="D39" s="77"/>
      <c r="E39" s="77"/>
      <c r="I39" s="543"/>
      <c r="J39" s="543"/>
    </row>
    <row r="40" spans="1:10" s="8" customFormat="1" ht="22.5" customHeight="1">
      <c r="A40" s="548" t="s">
        <v>388</v>
      </c>
      <c r="B40" s="549">
        <f>SUM(B41:B43)</f>
        <v>0</v>
      </c>
      <c r="C40" s="549">
        <f>SUM(C41:C43)</f>
        <v>0</v>
      </c>
      <c r="D40" s="549">
        <f>SUM(D41:D43)</f>
        <v>0</v>
      </c>
      <c r="E40" s="549">
        <f>SUM(E41:E43)</f>
        <v>0</v>
      </c>
      <c r="F40" s="615"/>
      <c r="G40" s="615"/>
      <c r="H40" s="615"/>
      <c r="I40" s="544"/>
      <c r="J40" s="544"/>
    </row>
    <row r="41" spans="1:10" s="8" customFormat="1" ht="22.5" customHeight="1">
      <c r="A41" s="608"/>
      <c r="B41" s="77"/>
      <c r="C41" s="529">
        <f>B41*20%</f>
        <v>0</v>
      </c>
      <c r="D41" s="77"/>
      <c r="E41" s="77"/>
      <c r="F41" s="614"/>
      <c r="G41" s="615"/>
      <c r="H41" s="615"/>
      <c r="I41" s="544"/>
      <c r="J41" s="544"/>
    </row>
    <row r="42" spans="1:10" s="8" customFormat="1" ht="22.5" customHeight="1" thickBot="1">
      <c r="A42" s="524"/>
      <c r="B42" s="77"/>
      <c r="C42" s="529">
        <f>B42*20%</f>
        <v>0</v>
      </c>
      <c r="D42" s="77"/>
      <c r="E42" s="77"/>
      <c r="F42" s="527" t="s">
        <v>413</v>
      </c>
      <c r="G42" s="528"/>
      <c r="H42" s="528"/>
      <c r="I42" s="528"/>
      <c r="J42" s="528"/>
    </row>
    <row r="43" spans="1:10" s="8" customFormat="1" ht="22.5" customHeight="1" thickBot="1">
      <c r="A43" s="524"/>
      <c r="B43" s="77"/>
      <c r="C43" s="529">
        <f>B43*20%</f>
        <v>0</v>
      </c>
      <c r="D43" s="77"/>
      <c r="E43" s="77"/>
      <c r="F43" s="527" t="s">
        <v>473</v>
      </c>
      <c r="G43" s="528"/>
      <c r="H43" s="525"/>
      <c r="I43" s="527" t="s">
        <v>474</v>
      </c>
      <c r="J43" s="528"/>
    </row>
    <row r="44" spans="1:10" s="8" customFormat="1" ht="22.5" customHeight="1">
      <c r="A44" s="541" t="s">
        <v>17</v>
      </c>
      <c r="B44" s="542">
        <f>SUM(B45:B52)</f>
        <v>0</v>
      </c>
      <c r="C44" s="542">
        <f>SUM(C45:C52)</f>
        <v>0</v>
      </c>
      <c r="D44" s="542">
        <f>SUM(D45:D52)</f>
        <v>0</v>
      </c>
      <c r="E44" s="542">
        <f>SUM(E52:E52)</f>
        <v>0</v>
      </c>
      <c r="F44" s="523"/>
      <c r="G44" s="523"/>
      <c r="H44" s="523"/>
      <c r="I44" s="543"/>
      <c r="J44" s="543"/>
    </row>
    <row r="45" spans="1:10" s="8" customFormat="1" ht="22.5" customHeight="1">
      <c r="A45" s="522"/>
      <c r="B45" s="490"/>
      <c r="C45" s="529">
        <f>B45*0.2</f>
        <v>0</v>
      </c>
      <c r="D45" s="490"/>
      <c r="E45" s="490"/>
      <c r="F45" s="523"/>
      <c r="G45" s="523"/>
      <c r="H45" s="523"/>
      <c r="I45" s="543"/>
      <c r="J45" s="543"/>
    </row>
    <row r="46" spans="1:10" s="8" customFormat="1" ht="22.5" customHeight="1">
      <c r="A46" s="522"/>
      <c r="B46" s="490"/>
      <c r="C46" s="529">
        <f t="shared" ref="C46:C52" si="2">B46*0.2</f>
        <v>0</v>
      </c>
      <c r="D46" s="490"/>
      <c r="E46" s="490"/>
      <c r="F46" s="523"/>
      <c r="G46" s="523"/>
      <c r="H46" s="523"/>
      <c r="I46" s="543"/>
      <c r="J46" s="543"/>
    </row>
    <row r="47" spans="1:10" s="8" customFormat="1" ht="22.5" customHeight="1">
      <c r="A47" s="522"/>
      <c r="B47" s="490"/>
      <c r="C47" s="529">
        <f t="shared" si="2"/>
        <v>0</v>
      </c>
      <c r="D47" s="490"/>
      <c r="E47" s="490"/>
      <c r="F47" s="523"/>
      <c r="G47" s="523"/>
      <c r="H47" s="523"/>
      <c r="I47" s="543"/>
      <c r="J47" s="543"/>
    </row>
    <row r="48" spans="1:10" s="8" customFormat="1" ht="22.5" customHeight="1">
      <c r="A48" s="522"/>
      <c r="B48" s="490"/>
      <c r="C48" s="529">
        <f t="shared" si="2"/>
        <v>0</v>
      </c>
      <c r="D48" s="490"/>
      <c r="E48" s="490"/>
      <c r="F48" s="523"/>
      <c r="G48" s="523"/>
      <c r="H48" s="523"/>
      <c r="I48" s="543"/>
      <c r="J48" s="543"/>
    </row>
    <row r="49" spans="1:10" s="8" customFormat="1" ht="22.5" customHeight="1">
      <c r="A49" s="522"/>
      <c r="B49" s="490"/>
      <c r="C49" s="529">
        <f t="shared" si="2"/>
        <v>0</v>
      </c>
      <c r="D49" s="490"/>
      <c r="E49" s="490"/>
      <c r="F49" s="523"/>
      <c r="G49" s="523"/>
      <c r="H49" s="523"/>
      <c r="I49" s="543"/>
      <c r="J49" s="543"/>
    </row>
    <row r="50" spans="1:10" s="8" customFormat="1" ht="22.5" customHeight="1">
      <c r="A50" s="522"/>
      <c r="B50" s="490"/>
      <c r="C50" s="529">
        <f t="shared" si="2"/>
        <v>0</v>
      </c>
      <c r="D50" s="490"/>
      <c r="E50" s="490"/>
      <c r="F50" s="523"/>
      <c r="G50" s="523"/>
      <c r="H50" s="523"/>
      <c r="I50" s="543"/>
      <c r="J50" s="543"/>
    </row>
    <row r="51" spans="1:10" s="8" customFormat="1" ht="22.5" customHeight="1">
      <c r="A51" s="522"/>
      <c r="B51" s="490"/>
      <c r="C51" s="529">
        <f t="shared" si="2"/>
        <v>0</v>
      </c>
      <c r="D51" s="490"/>
      <c r="E51" s="490"/>
      <c r="F51" s="523"/>
      <c r="G51" s="523"/>
      <c r="H51" s="523"/>
      <c r="I51" s="543"/>
      <c r="J51" s="543"/>
    </row>
    <row r="52" spans="1:10" s="8" customFormat="1" ht="22.5" customHeight="1">
      <c r="A52" s="530"/>
      <c r="B52" s="531"/>
      <c r="C52" s="529">
        <f t="shared" si="2"/>
        <v>0</v>
      </c>
      <c r="D52" s="490" t="s">
        <v>0</v>
      </c>
      <c r="E52" s="490" t="s">
        <v>0</v>
      </c>
      <c r="F52" s="523"/>
      <c r="G52" s="523"/>
      <c r="H52" s="523"/>
      <c r="I52" s="543"/>
      <c r="J52" s="543"/>
    </row>
    <row r="53" spans="1:10" s="8" customFormat="1" ht="22.5" customHeight="1">
      <c r="A53" s="541" t="s">
        <v>18</v>
      </c>
      <c r="B53" s="542">
        <f>SUM(B54:B59)</f>
        <v>0</v>
      </c>
      <c r="C53" s="542">
        <f>SUM(C54:C59)</f>
        <v>0</v>
      </c>
      <c r="D53" s="542">
        <f>SUM(D54:D54)</f>
        <v>0</v>
      </c>
      <c r="E53" s="542">
        <f>SUM(E54:E54)</f>
        <v>0</v>
      </c>
      <c r="F53" s="523"/>
      <c r="G53" s="523"/>
      <c r="H53" s="523"/>
      <c r="I53" s="543"/>
      <c r="J53" s="543"/>
    </row>
    <row r="54" spans="1:10" s="8" customFormat="1" ht="22.5" customHeight="1">
      <c r="A54" s="524"/>
      <c r="B54" s="490"/>
      <c r="C54" s="529">
        <f t="shared" ref="C54:C59" si="3">B54*20%</f>
        <v>0</v>
      </c>
      <c r="D54" s="77" t="s">
        <v>0</v>
      </c>
      <c r="E54" s="77" t="s">
        <v>0</v>
      </c>
      <c r="F54" s="523"/>
      <c r="G54" s="523"/>
      <c r="H54" s="523"/>
      <c r="I54" s="543"/>
      <c r="J54" s="543"/>
    </row>
    <row r="55" spans="1:10" s="8" customFormat="1" ht="22.5" customHeight="1">
      <c r="A55" s="524"/>
      <c r="B55" s="490"/>
      <c r="C55" s="529">
        <f t="shared" si="3"/>
        <v>0</v>
      </c>
      <c r="D55" s="77"/>
      <c r="E55" s="77"/>
      <c r="F55" s="523"/>
      <c r="G55" s="523"/>
      <c r="H55" s="523"/>
      <c r="I55" s="543"/>
      <c r="J55" s="543"/>
    </row>
    <row r="56" spans="1:10" s="8" customFormat="1" ht="22.5" customHeight="1">
      <c r="A56" s="524"/>
      <c r="B56" s="490"/>
      <c r="C56" s="529">
        <f t="shared" si="3"/>
        <v>0</v>
      </c>
      <c r="D56" s="77"/>
      <c r="E56" s="77"/>
      <c r="F56" s="523"/>
      <c r="G56" s="523"/>
      <c r="H56" s="523"/>
      <c r="I56" s="543"/>
      <c r="J56" s="543"/>
    </row>
    <row r="57" spans="1:10" s="8" customFormat="1" ht="22.5" customHeight="1">
      <c r="A57" s="524"/>
      <c r="B57" s="490"/>
      <c r="C57" s="529">
        <f t="shared" si="3"/>
        <v>0</v>
      </c>
      <c r="D57" s="77"/>
      <c r="E57" s="77"/>
      <c r="F57" s="523"/>
      <c r="G57" s="523"/>
      <c r="H57" s="523"/>
      <c r="I57" s="543"/>
      <c r="J57" s="543"/>
    </row>
    <row r="58" spans="1:10" s="8" customFormat="1" ht="22.5" customHeight="1">
      <c r="A58" s="524"/>
      <c r="B58" s="490"/>
      <c r="C58" s="529">
        <f t="shared" si="3"/>
        <v>0</v>
      </c>
      <c r="D58" s="77"/>
      <c r="E58" s="77"/>
      <c r="F58" s="523"/>
      <c r="G58" s="523"/>
      <c r="H58" s="523"/>
      <c r="I58" s="543"/>
      <c r="J58" s="543"/>
    </row>
    <row r="59" spans="1:10" s="8" customFormat="1" ht="22.5" customHeight="1">
      <c r="A59" s="524"/>
      <c r="B59" s="490"/>
      <c r="C59" s="529">
        <f t="shared" si="3"/>
        <v>0</v>
      </c>
      <c r="D59" s="77"/>
      <c r="E59" s="77"/>
      <c r="F59" s="523"/>
      <c r="G59" s="523"/>
      <c r="H59" s="523"/>
      <c r="I59" s="543"/>
      <c r="J59" s="543"/>
    </row>
    <row r="60" spans="1:10" s="8" customFormat="1" ht="22.5" customHeight="1">
      <c r="A60" s="541" t="s">
        <v>389</v>
      </c>
      <c r="B60" s="542">
        <f>SUM(B61:B61)</f>
        <v>0</v>
      </c>
      <c r="C60" s="542">
        <f>SUM(C61:C61)</f>
        <v>0</v>
      </c>
      <c r="D60" s="542">
        <f>SUM(D61:D61)</f>
        <v>0</v>
      </c>
      <c r="E60" s="542">
        <f>SUM(E61:E61)</f>
        <v>0</v>
      </c>
      <c r="F60" s="523"/>
      <c r="G60" s="523"/>
      <c r="H60" s="523"/>
      <c r="I60" s="543"/>
      <c r="J60" s="543"/>
    </row>
    <row r="61" spans="1:10" s="8" customFormat="1" ht="22.5" customHeight="1">
      <c r="A61" s="524"/>
      <c r="B61" s="77"/>
      <c r="C61" s="550" t="s">
        <v>0</v>
      </c>
      <c r="D61" s="77"/>
      <c r="E61" s="77"/>
      <c r="F61" s="523"/>
      <c r="G61" s="523"/>
      <c r="H61" s="523"/>
      <c r="I61" s="543"/>
      <c r="J61" s="543"/>
    </row>
    <row r="62" spans="1:10" s="8" customFormat="1" ht="22.5" customHeight="1">
      <c r="A62" s="551" t="s">
        <v>19</v>
      </c>
      <c r="B62" s="552">
        <f>SUM(B5:B61)/2</f>
        <v>0</v>
      </c>
      <c r="C62" s="552">
        <f>SUM(C5:C61)/2</f>
        <v>0</v>
      </c>
      <c r="D62" s="552">
        <f>SUM(D5:D61)/2</f>
        <v>0</v>
      </c>
      <c r="E62" s="552">
        <f>SUM(E5:E61)/2</f>
        <v>0</v>
      </c>
      <c r="F62" s="523"/>
      <c r="G62" s="523"/>
      <c r="H62" s="523"/>
      <c r="I62" s="543"/>
      <c r="J62" s="543"/>
    </row>
    <row r="63" spans="1:10" s="8" customFormat="1" ht="22.5" customHeight="1">
      <c r="A63" s="543"/>
      <c r="B63" s="553"/>
      <c r="C63" s="553"/>
      <c r="D63" s="554"/>
      <c r="E63" s="543"/>
      <c r="F63" s="543"/>
      <c r="G63" s="543"/>
      <c r="H63" s="543"/>
      <c r="I63" s="543"/>
      <c r="J63" s="543"/>
    </row>
    <row r="64" spans="1:10" s="8" customFormat="1" ht="22.5" customHeight="1">
      <c r="A64" s="543"/>
      <c r="B64" s="553"/>
      <c r="C64" s="553"/>
      <c r="D64" s="543"/>
      <c r="E64" s="543"/>
      <c r="F64" s="543"/>
      <c r="G64" s="543"/>
      <c r="H64" s="543"/>
      <c r="I64" s="543"/>
      <c r="J64" s="543"/>
    </row>
    <row r="65" spans="1:10" s="8" customFormat="1" ht="22.5" customHeight="1">
      <c r="A65" s="543"/>
      <c r="B65" s="553"/>
      <c r="C65" s="553"/>
      <c r="D65" s="543"/>
      <c r="E65" s="543"/>
      <c r="F65" s="543"/>
      <c r="G65" s="543"/>
      <c r="H65" s="543"/>
      <c r="I65" s="543"/>
      <c r="J65" s="543"/>
    </row>
    <row r="66" spans="1:10" s="8" customFormat="1" ht="22.5" customHeight="1">
      <c r="A66" s="543"/>
      <c r="B66" s="553"/>
      <c r="C66" s="553"/>
      <c r="D66" s="543"/>
      <c r="E66" s="543"/>
      <c r="F66" s="543"/>
      <c r="G66" s="543"/>
      <c r="H66" s="543"/>
      <c r="I66" s="543"/>
      <c r="J66" s="543"/>
    </row>
    <row r="67" spans="1:10" s="8" customFormat="1" ht="22.5" customHeight="1">
      <c r="A67" s="543"/>
      <c r="B67" s="553"/>
      <c r="C67" s="553"/>
      <c r="D67" s="543"/>
      <c r="E67" s="543"/>
      <c r="F67" s="543"/>
      <c r="G67" s="543"/>
      <c r="H67" s="543"/>
      <c r="I67" s="543"/>
      <c r="J67" s="543"/>
    </row>
    <row r="68" spans="1:10" s="8" customFormat="1" ht="22.5" customHeight="1">
      <c r="A68" s="543"/>
      <c r="B68" s="553"/>
      <c r="C68" s="553"/>
      <c r="D68" s="543"/>
      <c r="E68" s="543"/>
      <c r="F68" s="543"/>
      <c r="G68" s="543"/>
      <c r="H68" s="543"/>
      <c r="I68" s="543"/>
      <c r="J68" s="543"/>
    </row>
    <row r="69" spans="1:10" s="8" customFormat="1" ht="22.5" customHeight="1">
      <c r="A69" s="543"/>
      <c r="B69" s="553"/>
      <c r="C69" s="553"/>
      <c r="D69" s="543"/>
      <c r="E69" s="543"/>
      <c r="F69" s="543"/>
      <c r="G69" s="543"/>
      <c r="H69" s="543"/>
      <c r="I69" s="543"/>
      <c r="J69" s="543"/>
    </row>
    <row r="70" spans="1:10" s="8" customFormat="1" ht="22.5" customHeight="1">
      <c r="A70" s="543"/>
      <c r="B70" s="553"/>
      <c r="C70" s="553"/>
      <c r="D70" s="543"/>
      <c r="E70" s="543"/>
      <c r="F70" s="543"/>
      <c r="G70" s="543"/>
      <c r="H70" s="543"/>
      <c r="I70" s="543"/>
      <c r="J70" s="543"/>
    </row>
    <row r="71" spans="1:10" s="8" customFormat="1" ht="22.5" customHeight="1">
      <c r="A71" s="543"/>
      <c r="B71" s="553"/>
      <c r="C71" s="553"/>
      <c r="D71" s="543"/>
      <c r="E71" s="543"/>
      <c r="F71" s="543"/>
      <c r="G71" s="543"/>
      <c r="H71" s="543"/>
      <c r="I71" s="543"/>
      <c r="J71" s="543"/>
    </row>
    <row r="72" spans="1:10" s="8" customFormat="1" ht="22.5" customHeight="1">
      <c r="A72" s="543"/>
      <c r="B72" s="553"/>
      <c r="C72" s="553"/>
      <c r="D72" s="543"/>
      <c r="E72" s="543"/>
      <c r="F72" s="543"/>
      <c r="G72" s="543"/>
      <c r="H72" s="543"/>
      <c r="I72" s="543"/>
      <c r="J72" s="543"/>
    </row>
    <row r="73" spans="1:10" s="8" customFormat="1" ht="22.5" customHeight="1">
      <c r="A73" s="543"/>
      <c r="B73" s="553"/>
      <c r="C73" s="553"/>
      <c r="D73" s="543"/>
      <c r="E73" s="543"/>
      <c r="F73" s="543"/>
      <c r="G73" s="543"/>
      <c r="H73" s="543"/>
      <c r="I73" s="543"/>
      <c r="J73" s="543"/>
    </row>
    <row r="74" spans="1:10" s="8" customFormat="1" ht="22.5" customHeight="1">
      <c r="A74" s="543"/>
      <c r="B74" s="553"/>
      <c r="C74" s="553"/>
      <c r="D74" s="543"/>
      <c r="E74" s="543"/>
      <c r="F74" s="543"/>
      <c r="G74" s="543"/>
      <c r="H74" s="543"/>
      <c r="I74" s="543"/>
      <c r="J74" s="543"/>
    </row>
    <row r="75" spans="1:10" s="8" customFormat="1" ht="22.5" customHeight="1">
      <c r="A75" s="543"/>
      <c r="B75" s="553"/>
      <c r="C75" s="553"/>
      <c r="D75" s="543"/>
      <c r="E75" s="543"/>
      <c r="F75" s="543"/>
      <c r="G75" s="543"/>
      <c r="H75" s="543"/>
      <c r="I75" s="543"/>
      <c r="J75" s="543"/>
    </row>
    <row r="76" spans="1:10" s="8" customFormat="1" ht="22.5" customHeight="1">
      <c r="A76" s="543"/>
      <c r="B76" s="553"/>
      <c r="C76" s="553"/>
      <c r="D76" s="543"/>
      <c r="E76" s="543"/>
      <c r="F76" s="543"/>
      <c r="G76" s="543"/>
      <c r="H76" s="543"/>
      <c r="I76" s="543"/>
      <c r="J76" s="543"/>
    </row>
    <row r="77" spans="1:10" s="8" customFormat="1" ht="22.5" customHeight="1">
      <c r="A77" s="543"/>
      <c r="B77" s="553"/>
      <c r="C77" s="553"/>
      <c r="D77" s="543"/>
      <c r="E77" s="543"/>
      <c r="F77" s="543"/>
      <c r="G77" s="543"/>
      <c r="H77" s="543"/>
      <c r="I77" s="543"/>
      <c r="J77" s="543"/>
    </row>
    <row r="78" spans="1:10" s="8" customFormat="1" ht="22.5" customHeight="1">
      <c r="A78" s="543"/>
      <c r="B78" s="553"/>
      <c r="C78" s="553"/>
      <c r="D78" s="543"/>
      <c r="E78" s="543"/>
      <c r="F78" s="543"/>
      <c r="G78" s="543"/>
      <c r="H78" s="543"/>
      <c r="I78" s="543"/>
      <c r="J78" s="543"/>
    </row>
    <row r="79" spans="1:10" s="8" customFormat="1" ht="22.5" customHeight="1">
      <c r="A79" s="543"/>
      <c r="B79" s="553"/>
      <c r="C79" s="553"/>
      <c r="D79" s="543"/>
      <c r="E79" s="543"/>
      <c r="F79" s="543"/>
      <c r="G79" s="543"/>
      <c r="H79" s="543"/>
      <c r="I79" s="543"/>
      <c r="J79" s="543"/>
    </row>
    <row r="80" spans="1:10" s="8" customFormat="1" ht="22.5" customHeight="1">
      <c r="A80" s="543"/>
      <c r="B80" s="553"/>
      <c r="C80" s="553"/>
      <c r="D80" s="543"/>
      <c r="E80" s="543"/>
      <c r="F80" s="543"/>
      <c r="G80" s="543"/>
      <c r="H80" s="543"/>
      <c r="I80" s="543"/>
      <c r="J80" s="543"/>
    </row>
    <row r="81" spans="1:10" s="8" customFormat="1" ht="22.5" customHeight="1">
      <c r="A81" s="543"/>
      <c r="B81" s="553"/>
      <c r="C81" s="553"/>
      <c r="D81" s="543"/>
      <c r="E81" s="543"/>
      <c r="F81" s="543"/>
      <c r="G81" s="543"/>
      <c r="H81" s="543"/>
      <c r="I81" s="543"/>
      <c r="J81" s="543"/>
    </row>
    <row r="82" spans="1:10" s="8" customFormat="1" ht="22.5" customHeight="1">
      <c r="A82" s="543"/>
      <c r="B82" s="553"/>
      <c r="C82" s="553"/>
      <c r="D82" s="543"/>
      <c r="E82" s="543"/>
      <c r="F82" s="543"/>
      <c r="G82" s="543"/>
      <c r="H82" s="543"/>
      <c r="I82" s="543"/>
      <c r="J82" s="543"/>
    </row>
    <row r="83" spans="1:10" s="8" customFormat="1" ht="22.5" customHeight="1">
      <c r="A83" s="543"/>
      <c r="B83" s="553"/>
      <c r="C83" s="553"/>
      <c r="D83" s="543"/>
      <c r="E83" s="543"/>
      <c r="F83" s="543"/>
      <c r="G83" s="543"/>
      <c r="H83" s="543"/>
      <c r="I83" s="543"/>
      <c r="J83" s="543"/>
    </row>
    <row r="84" spans="1:10" s="8" customFormat="1" ht="22.5" customHeight="1">
      <c r="A84" s="543"/>
      <c r="B84" s="553"/>
      <c r="C84" s="553"/>
      <c r="D84" s="543"/>
      <c r="E84" s="543"/>
      <c r="F84" s="543"/>
      <c r="G84" s="543"/>
      <c r="H84" s="543"/>
      <c r="I84" s="543"/>
      <c r="J84" s="543"/>
    </row>
    <row r="85" spans="1:10" s="8" customFormat="1" ht="22.5" customHeight="1">
      <c r="A85" s="543"/>
      <c r="B85" s="553"/>
      <c r="C85" s="553"/>
      <c r="D85" s="543"/>
      <c r="E85" s="543"/>
      <c r="F85" s="543"/>
      <c r="G85" s="543"/>
      <c r="H85" s="543"/>
      <c r="I85" s="543"/>
      <c r="J85" s="543"/>
    </row>
    <row r="86" spans="1:10" s="8" customFormat="1" ht="22.5" customHeight="1">
      <c r="A86" s="543"/>
      <c r="B86" s="553"/>
      <c r="C86" s="553"/>
      <c r="D86" s="543"/>
      <c r="E86" s="543"/>
      <c r="F86" s="543"/>
      <c r="G86" s="543"/>
      <c r="H86" s="543"/>
      <c r="I86" s="543"/>
      <c r="J86" s="543"/>
    </row>
    <row r="87" spans="1:10" s="8" customFormat="1" ht="22.5" customHeight="1">
      <c r="A87" s="543"/>
      <c r="B87" s="553"/>
      <c r="C87" s="553"/>
      <c r="D87" s="543"/>
      <c r="E87" s="543"/>
      <c r="F87" s="543"/>
      <c r="G87" s="543"/>
      <c r="H87" s="543"/>
      <c r="I87" s="543"/>
      <c r="J87" s="543"/>
    </row>
    <row r="88" spans="1:10" s="8" customFormat="1" ht="22.5" customHeight="1">
      <c r="A88" s="543"/>
      <c r="B88" s="553"/>
      <c r="C88" s="553"/>
      <c r="D88" s="543"/>
      <c r="E88" s="543"/>
      <c r="F88" s="543"/>
      <c r="G88" s="543"/>
      <c r="H88" s="543"/>
      <c r="I88" s="543"/>
      <c r="J88" s="543"/>
    </row>
    <row r="89" spans="1:10" s="8" customFormat="1" ht="22.5" customHeight="1">
      <c r="A89" s="543"/>
      <c r="B89" s="553"/>
      <c r="C89" s="553"/>
      <c r="D89" s="543"/>
      <c r="E89" s="543"/>
      <c r="F89" s="543"/>
      <c r="G89" s="543"/>
      <c r="H89" s="543"/>
      <c r="I89" s="543"/>
      <c r="J89" s="543"/>
    </row>
    <row r="90" spans="1:10" s="8" customFormat="1" ht="22.5" customHeight="1">
      <c r="A90" s="543"/>
      <c r="B90" s="553"/>
      <c r="C90" s="553"/>
      <c r="D90" s="543"/>
      <c r="E90" s="543"/>
      <c r="F90" s="543"/>
      <c r="G90" s="543"/>
      <c r="H90" s="543"/>
      <c r="I90" s="543"/>
      <c r="J90" s="543"/>
    </row>
    <row r="91" spans="1:10" s="8" customFormat="1" ht="22.5" customHeight="1">
      <c r="A91" s="543"/>
      <c r="B91" s="553"/>
      <c r="C91" s="553"/>
      <c r="D91" s="543"/>
      <c r="E91" s="543"/>
      <c r="F91" s="543"/>
      <c r="G91" s="543"/>
      <c r="H91" s="543"/>
      <c r="I91" s="543"/>
      <c r="J91" s="543"/>
    </row>
    <row r="92" spans="1:10" s="8" customFormat="1" ht="22.5" customHeight="1">
      <c r="A92" s="543"/>
      <c r="B92" s="553"/>
      <c r="C92" s="553"/>
      <c r="D92" s="543"/>
      <c r="E92" s="543"/>
      <c r="F92" s="543"/>
      <c r="G92" s="543"/>
      <c r="H92" s="543"/>
      <c r="I92" s="543"/>
      <c r="J92" s="543"/>
    </row>
    <row r="93" spans="1:10" s="8" customFormat="1" ht="22.5" customHeight="1">
      <c r="A93" s="543"/>
      <c r="B93" s="553"/>
      <c r="C93" s="553"/>
      <c r="D93" s="543"/>
      <c r="E93" s="543"/>
      <c r="F93" s="543"/>
      <c r="G93" s="543"/>
      <c r="H93" s="543"/>
      <c r="I93" s="543"/>
      <c r="J93" s="543"/>
    </row>
    <row r="94" spans="1:10" s="8" customFormat="1" ht="22.5" customHeight="1">
      <c r="A94" s="543"/>
      <c r="B94" s="553"/>
      <c r="C94" s="553"/>
      <c r="D94" s="543"/>
      <c r="E94" s="543"/>
      <c r="F94" s="543"/>
      <c r="G94" s="543"/>
      <c r="H94" s="543"/>
      <c r="I94" s="543"/>
      <c r="J94" s="543"/>
    </row>
    <row r="95" spans="1:10" s="8" customFormat="1" ht="22.5" customHeight="1">
      <c r="A95" s="543"/>
      <c r="B95" s="553"/>
      <c r="C95" s="553"/>
      <c r="D95" s="543"/>
      <c r="E95" s="543"/>
      <c r="F95" s="543"/>
      <c r="G95" s="543"/>
      <c r="H95" s="543"/>
      <c r="I95" s="543"/>
      <c r="J95" s="543"/>
    </row>
    <row r="96" spans="1:10" s="8" customFormat="1" ht="22.5" customHeight="1">
      <c r="A96" s="543"/>
      <c r="B96" s="553"/>
      <c r="C96" s="553"/>
      <c r="D96" s="543"/>
      <c r="E96" s="543"/>
      <c r="F96" s="543"/>
      <c r="G96" s="543"/>
      <c r="H96" s="543"/>
      <c r="I96" s="543"/>
      <c r="J96" s="543"/>
    </row>
    <row r="97" spans="1:10" s="8" customFormat="1" ht="22.5" customHeight="1">
      <c r="A97" s="543"/>
      <c r="B97" s="553"/>
      <c r="C97" s="553"/>
      <c r="D97" s="543"/>
      <c r="E97" s="543"/>
      <c r="F97" s="543"/>
      <c r="G97" s="543"/>
      <c r="H97" s="543"/>
      <c r="I97" s="543"/>
      <c r="J97" s="543"/>
    </row>
    <row r="98" spans="1:10" s="8" customFormat="1" ht="22.5" customHeight="1">
      <c r="A98" s="543"/>
      <c r="B98" s="553"/>
      <c r="C98" s="553"/>
      <c r="D98" s="543"/>
      <c r="E98" s="543"/>
      <c r="F98" s="543"/>
      <c r="G98" s="543"/>
      <c r="H98" s="543"/>
      <c r="I98" s="543"/>
      <c r="J98" s="543"/>
    </row>
    <row r="99" spans="1:10" s="8" customFormat="1" ht="22.5" customHeight="1">
      <c r="A99" s="543"/>
      <c r="B99" s="553"/>
      <c r="C99" s="553"/>
      <c r="D99" s="543"/>
      <c r="E99" s="543"/>
      <c r="F99" s="543"/>
      <c r="G99" s="543"/>
      <c r="H99" s="543"/>
      <c r="I99" s="543"/>
      <c r="J99" s="543"/>
    </row>
    <row r="100" spans="1:10" s="8" customFormat="1" ht="22.5" customHeight="1">
      <c r="A100" s="543"/>
      <c r="B100" s="553"/>
      <c r="C100" s="553"/>
      <c r="D100" s="543"/>
      <c r="E100" s="543"/>
      <c r="F100" s="543"/>
      <c r="G100" s="543"/>
      <c r="H100" s="543"/>
      <c r="I100" s="543"/>
      <c r="J100" s="543"/>
    </row>
    <row r="101" spans="1:10" s="8" customFormat="1" ht="22.5" customHeight="1">
      <c r="A101" s="543"/>
      <c r="B101" s="553"/>
      <c r="C101" s="553"/>
      <c r="D101" s="543"/>
      <c r="E101" s="543"/>
      <c r="F101" s="543"/>
      <c r="G101" s="543"/>
      <c r="H101" s="543"/>
      <c r="I101" s="543"/>
      <c r="J101" s="543"/>
    </row>
    <row r="102" spans="1:10" s="8" customFormat="1" ht="22.5" customHeight="1">
      <c r="A102" s="543"/>
      <c r="B102" s="553"/>
      <c r="C102" s="553"/>
      <c r="D102" s="543"/>
      <c r="E102" s="543"/>
      <c r="F102" s="543"/>
      <c r="G102" s="543"/>
      <c r="H102" s="543"/>
      <c r="I102" s="543"/>
      <c r="J102" s="543"/>
    </row>
    <row r="103" spans="1:10" s="8" customFormat="1" ht="22.5" customHeight="1">
      <c r="A103" s="543"/>
      <c r="B103" s="553"/>
      <c r="C103" s="553"/>
      <c r="D103" s="543"/>
      <c r="E103" s="543"/>
      <c r="F103" s="543"/>
      <c r="G103" s="543"/>
      <c r="H103" s="543"/>
      <c r="I103" s="543"/>
      <c r="J103" s="543"/>
    </row>
    <row r="104" spans="1:10" s="8" customFormat="1" ht="22.5" customHeight="1">
      <c r="A104" s="543"/>
      <c r="B104" s="553"/>
      <c r="C104" s="553"/>
      <c r="D104" s="543"/>
      <c r="E104" s="543"/>
      <c r="F104" s="543"/>
      <c r="G104" s="543"/>
      <c r="H104" s="543"/>
      <c r="I104" s="543"/>
      <c r="J104" s="543"/>
    </row>
    <row r="105" spans="1:10" s="8" customFormat="1" ht="22.5" customHeight="1">
      <c r="A105" s="543"/>
      <c r="B105" s="553"/>
      <c r="C105" s="553"/>
      <c r="D105" s="543"/>
      <c r="E105" s="543"/>
      <c r="F105" s="543"/>
      <c r="G105" s="543"/>
      <c r="H105" s="543"/>
      <c r="I105" s="543"/>
      <c r="J105" s="543"/>
    </row>
    <row r="106" spans="1:10" s="8" customFormat="1" ht="22.5" customHeight="1">
      <c r="A106" s="543"/>
      <c r="B106" s="553"/>
      <c r="C106" s="553"/>
      <c r="D106" s="543"/>
      <c r="E106" s="543"/>
      <c r="F106" s="543"/>
      <c r="G106" s="543"/>
      <c r="H106" s="543"/>
      <c r="I106" s="543"/>
      <c r="J106" s="543"/>
    </row>
    <row r="107" spans="1:10" s="8" customFormat="1" ht="22.5" customHeight="1">
      <c r="A107" s="543"/>
      <c r="B107" s="553"/>
      <c r="C107" s="553"/>
      <c r="D107" s="543"/>
      <c r="E107" s="543"/>
      <c r="F107" s="543"/>
      <c r="G107" s="543"/>
      <c r="H107" s="543"/>
      <c r="I107" s="543"/>
      <c r="J107" s="543"/>
    </row>
    <row r="108" spans="1:10" s="8" customFormat="1" ht="22.5" customHeight="1">
      <c r="A108" s="543"/>
      <c r="B108" s="553"/>
      <c r="C108" s="553"/>
      <c r="D108" s="543"/>
      <c r="E108" s="543"/>
      <c r="F108" s="543"/>
      <c r="G108" s="543"/>
      <c r="H108" s="543"/>
      <c r="I108" s="543"/>
      <c r="J108" s="543"/>
    </row>
    <row r="109" spans="1:10" s="8" customFormat="1" ht="22.5" customHeight="1">
      <c r="A109" s="543"/>
      <c r="B109" s="553"/>
      <c r="C109" s="553"/>
      <c r="D109" s="543"/>
      <c r="E109" s="543"/>
      <c r="F109" s="543"/>
      <c r="G109" s="543"/>
      <c r="H109" s="543"/>
      <c r="I109" s="543"/>
      <c r="J109" s="543"/>
    </row>
    <row r="110" spans="1:10" s="8" customFormat="1" ht="22.5" customHeight="1">
      <c r="A110" s="543"/>
      <c r="B110" s="553"/>
      <c r="C110" s="553"/>
      <c r="D110" s="543"/>
      <c r="E110" s="543"/>
      <c r="F110" s="543"/>
      <c r="G110" s="543"/>
      <c r="H110" s="543"/>
      <c r="I110" s="543"/>
      <c r="J110" s="543"/>
    </row>
    <row r="111" spans="1:10" s="8" customFormat="1" ht="22.5" customHeight="1">
      <c r="A111" s="543"/>
      <c r="B111" s="553"/>
      <c r="C111" s="553"/>
      <c r="D111" s="543"/>
      <c r="E111" s="543"/>
      <c r="F111" s="543"/>
      <c r="G111" s="543"/>
      <c r="H111" s="543"/>
      <c r="I111" s="543"/>
      <c r="J111" s="543"/>
    </row>
    <row r="112" spans="1:10" s="8" customFormat="1" ht="22.5" customHeight="1">
      <c r="A112" s="543"/>
      <c r="B112" s="553"/>
      <c r="C112" s="553"/>
      <c r="D112" s="543"/>
      <c r="E112" s="543"/>
      <c r="F112" s="543"/>
      <c r="G112" s="543"/>
      <c r="H112" s="543"/>
      <c r="I112" s="543"/>
      <c r="J112" s="543"/>
    </row>
    <row r="113" spans="1:10" s="8" customFormat="1" ht="22.5" customHeight="1">
      <c r="A113" s="543"/>
      <c r="B113" s="553"/>
      <c r="C113" s="553"/>
      <c r="D113" s="543"/>
      <c r="E113" s="543"/>
      <c r="F113" s="543"/>
      <c r="G113" s="543"/>
      <c r="H113" s="543"/>
      <c r="I113" s="543"/>
      <c r="J113" s="543"/>
    </row>
    <row r="114" spans="1:10" s="8" customFormat="1" ht="22.5" customHeight="1">
      <c r="A114" s="543"/>
      <c r="B114" s="553"/>
      <c r="C114" s="553"/>
      <c r="D114" s="543"/>
      <c r="E114" s="543"/>
      <c r="F114" s="543"/>
      <c r="G114" s="543"/>
      <c r="H114" s="543"/>
      <c r="I114" s="543"/>
      <c r="J114" s="543"/>
    </row>
    <row r="115" spans="1:10" s="8" customFormat="1" ht="22.5" customHeight="1">
      <c r="A115" s="543"/>
      <c r="B115" s="553"/>
      <c r="C115" s="553"/>
      <c r="D115" s="543"/>
      <c r="E115" s="543"/>
      <c r="F115" s="543"/>
      <c r="G115" s="543"/>
      <c r="H115" s="543"/>
      <c r="I115" s="543"/>
      <c r="J115" s="543"/>
    </row>
    <row r="116" spans="1:10" s="8" customFormat="1" ht="22.5" customHeight="1">
      <c r="A116" s="543"/>
      <c r="B116" s="553"/>
      <c r="C116" s="553"/>
      <c r="D116" s="543"/>
      <c r="E116" s="543"/>
      <c r="F116" s="543"/>
      <c r="G116" s="543"/>
      <c r="H116" s="543"/>
      <c r="I116" s="543"/>
      <c r="J116" s="543"/>
    </row>
    <row r="117" spans="1:10" s="8" customFormat="1" ht="22.5" customHeight="1">
      <c r="A117" s="543"/>
      <c r="B117" s="553"/>
      <c r="C117" s="553"/>
      <c r="D117" s="543"/>
      <c r="E117" s="543"/>
      <c r="F117" s="543"/>
      <c r="G117" s="543"/>
      <c r="H117" s="543"/>
      <c r="I117" s="543"/>
      <c r="J117" s="543"/>
    </row>
    <row r="118" spans="1:10" s="8" customFormat="1" ht="22.5" customHeight="1">
      <c r="A118" s="543"/>
      <c r="B118" s="553"/>
      <c r="C118" s="553"/>
      <c r="D118" s="543"/>
      <c r="E118" s="543"/>
      <c r="F118" s="543"/>
      <c r="G118" s="543"/>
      <c r="H118" s="543"/>
      <c r="I118" s="543"/>
      <c r="J118" s="543"/>
    </row>
    <row r="119" spans="1:10" s="8" customFormat="1" ht="22.5" customHeight="1">
      <c r="A119" s="543"/>
      <c r="B119" s="553"/>
      <c r="C119" s="553"/>
      <c r="D119" s="543"/>
      <c r="E119" s="543"/>
      <c r="F119" s="543"/>
      <c r="G119" s="543"/>
      <c r="H119" s="543"/>
      <c r="I119" s="543"/>
      <c r="J119" s="543"/>
    </row>
    <row r="120" spans="1:10" s="8" customFormat="1" ht="22.5" customHeight="1">
      <c r="A120" s="543"/>
      <c r="B120" s="553"/>
      <c r="C120" s="553"/>
      <c r="D120" s="543"/>
      <c r="E120" s="543"/>
      <c r="F120" s="543"/>
      <c r="G120" s="543"/>
      <c r="H120" s="543"/>
      <c r="I120" s="543"/>
      <c r="J120" s="543"/>
    </row>
    <row r="121" spans="1:10" s="8" customFormat="1" ht="22.5" customHeight="1">
      <c r="A121" s="543"/>
      <c r="B121" s="553"/>
      <c r="C121" s="553"/>
      <c r="D121" s="543"/>
      <c r="E121" s="543"/>
      <c r="F121" s="543"/>
      <c r="G121" s="543"/>
      <c r="H121" s="543"/>
      <c r="I121" s="543"/>
      <c r="J121" s="543"/>
    </row>
    <row r="122" spans="1:10" s="8" customFormat="1" ht="22.5" customHeight="1">
      <c r="A122" s="543"/>
      <c r="B122" s="553"/>
      <c r="C122" s="553"/>
      <c r="D122" s="543"/>
      <c r="E122" s="543"/>
      <c r="F122" s="543"/>
      <c r="G122" s="543"/>
      <c r="H122" s="543"/>
      <c r="I122" s="543"/>
      <c r="J122" s="543"/>
    </row>
    <row r="123" spans="1:10" s="8" customFormat="1" ht="22.5" customHeight="1">
      <c r="A123" s="543"/>
      <c r="B123" s="553"/>
      <c r="C123" s="553"/>
      <c r="D123" s="543"/>
      <c r="E123" s="543"/>
      <c r="F123" s="543"/>
      <c r="G123" s="543"/>
      <c r="H123" s="543"/>
      <c r="I123" s="543"/>
      <c r="J123" s="543"/>
    </row>
    <row r="124" spans="1:10" s="8" customFormat="1" ht="22.5" customHeight="1">
      <c r="A124" s="543"/>
      <c r="B124" s="553"/>
      <c r="C124" s="553"/>
      <c r="D124" s="543"/>
      <c r="E124" s="543"/>
      <c r="F124" s="543"/>
      <c r="G124" s="543"/>
      <c r="H124" s="543"/>
      <c r="I124" s="543"/>
      <c r="J124" s="543"/>
    </row>
    <row r="125" spans="1:10" s="8" customFormat="1" ht="22.5" customHeight="1">
      <c r="A125" s="543"/>
      <c r="B125" s="553"/>
      <c r="C125" s="553"/>
      <c r="D125" s="543"/>
      <c r="E125" s="543"/>
      <c r="F125" s="543"/>
      <c r="G125" s="543"/>
      <c r="H125" s="543"/>
      <c r="I125" s="543"/>
      <c r="J125" s="543"/>
    </row>
    <row r="126" spans="1:10" s="8" customFormat="1" ht="22.5" customHeight="1">
      <c r="A126" s="543"/>
      <c r="B126" s="553"/>
      <c r="C126" s="553"/>
      <c r="D126" s="543"/>
      <c r="E126" s="543"/>
      <c r="F126" s="543"/>
      <c r="G126" s="543"/>
      <c r="H126" s="543"/>
      <c r="I126" s="543"/>
      <c r="J126" s="543"/>
    </row>
    <row r="127" spans="1:10" s="8" customFormat="1" ht="22.5" customHeight="1">
      <c r="A127" s="543"/>
      <c r="B127" s="553"/>
      <c r="C127" s="553"/>
      <c r="D127" s="543"/>
      <c r="E127" s="543"/>
      <c r="F127" s="543"/>
      <c r="G127" s="543"/>
      <c r="H127" s="543"/>
      <c r="I127" s="543"/>
      <c r="J127" s="543"/>
    </row>
    <row r="128" spans="1:10" s="8" customFormat="1" ht="22.5" customHeight="1">
      <c r="A128" s="543"/>
      <c r="B128" s="553"/>
      <c r="C128" s="553"/>
      <c r="D128" s="543"/>
      <c r="E128" s="543"/>
      <c r="F128" s="543"/>
      <c r="G128" s="543"/>
      <c r="H128" s="543"/>
      <c r="I128" s="543"/>
      <c r="J128" s="543"/>
    </row>
    <row r="129" spans="1:10" s="8" customFormat="1" ht="22.5" customHeight="1">
      <c r="A129" s="543"/>
      <c r="B129" s="553"/>
      <c r="C129" s="553"/>
      <c r="D129" s="543"/>
      <c r="E129" s="543"/>
      <c r="F129" s="543"/>
      <c r="G129" s="543"/>
      <c r="H129" s="543"/>
      <c r="I129" s="543"/>
      <c r="J129" s="543"/>
    </row>
    <row r="130" spans="1:10" s="8" customFormat="1" ht="22.5" customHeight="1">
      <c r="A130" s="543"/>
      <c r="B130" s="553"/>
      <c r="C130" s="553"/>
      <c r="D130" s="543"/>
      <c r="E130" s="543"/>
      <c r="F130" s="543"/>
      <c r="G130" s="543"/>
      <c r="H130" s="543"/>
      <c r="I130" s="543"/>
      <c r="J130" s="543"/>
    </row>
    <row r="131" spans="1:10" s="8" customFormat="1" ht="22.5" customHeight="1">
      <c r="A131" s="543"/>
      <c r="B131" s="553"/>
      <c r="C131" s="553"/>
      <c r="D131" s="543"/>
      <c r="E131" s="543"/>
      <c r="F131" s="543"/>
      <c r="G131" s="543"/>
      <c r="H131" s="543"/>
      <c r="I131" s="543"/>
      <c r="J131" s="543"/>
    </row>
    <row r="132" spans="1:10" s="8" customFormat="1" ht="22.5" customHeight="1">
      <c r="A132" s="543"/>
      <c r="B132" s="553"/>
      <c r="C132" s="553"/>
      <c r="D132" s="543"/>
      <c r="E132" s="543"/>
      <c r="F132" s="543"/>
      <c r="G132" s="543"/>
      <c r="H132" s="543"/>
      <c r="I132" s="543"/>
      <c r="J132" s="543"/>
    </row>
    <row r="133" spans="1:10" s="8" customFormat="1" ht="22.5" customHeight="1">
      <c r="A133" s="543"/>
      <c r="B133" s="553"/>
      <c r="C133" s="553"/>
      <c r="D133" s="543"/>
      <c r="E133" s="543"/>
      <c r="F133" s="543"/>
      <c r="G133" s="543"/>
      <c r="H133" s="543"/>
      <c r="I133" s="543"/>
      <c r="J133" s="543"/>
    </row>
    <row r="134" spans="1:10" s="8" customFormat="1" ht="22.5" customHeight="1">
      <c r="A134" s="543"/>
      <c r="B134" s="553"/>
      <c r="C134" s="553"/>
      <c r="D134" s="543"/>
      <c r="E134" s="543"/>
      <c r="F134" s="543"/>
      <c r="G134" s="543"/>
      <c r="H134" s="543"/>
      <c r="I134" s="543"/>
      <c r="J134" s="543"/>
    </row>
    <row r="135" spans="1:10" s="8" customFormat="1" ht="22.5" customHeight="1">
      <c r="A135" s="543"/>
      <c r="B135" s="553"/>
      <c r="C135" s="553"/>
      <c r="D135" s="543"/>
      <c r="E135" s="543"/>
      <c r="F135" s="543"/>
      <c r="G135" s="543"/>
      <c r="H135" s="543"/>
      <c r="I135" s="543"/>
      <c r="J135" s="543"/>
    </row>
    <row r="136" spans="1:10" s="8" customFormat="1" ht="22.5" customHeight="1">
      <c r="A136" s="543"/>
      <c r="B136" s="553"/>
      <c r="C136" s="553"/>
      <c r="D136" s="543"/>
      <c r="E136" s="543"/>
      <c r="F136" s="543"/>
      <c r="G136" s="543"/>
      <c r="H136" s="543"/>
      <c r="I136" s="543"/>
      <c r="J136" s="543"/>
    </row>
    <row r="137" spans="1:10" s="8" customFormat="1" ht="22.5" customHeight="1">
      <c r="A137" s="543"/>
      <c r="B137" s="553"/>
      <c r="C137" s="553"/>
      <c r="D137" s="543"/>
      <c r="E137" s="543"/>
      <c r="F137" s="543"/>
      <c r="G137" s="543"/>
      <c r="H137" s="543"/>
      <c r="I137" s="543"/>
      <c r="J137" s="543"/>
    </row>
    <row r="138" spans="1:10" s="8" customFormat="1" ht="22.5" customHeight="1">
      <c r="A138" s="543"/>
      <c r="B138" s="553"/>
      <c r="C138" s="553"/>
      <c r="D138" s="543"/>
      <c r="E138" s="543"/>
      <c r="F138" s="543"/>
      <c r="G138" s="543"/>
      <c r="H138" s="543"/>
      <c r="I138" s="543"/>
      <c r="J138" s="543"/>
    </row>
    <row r="139" spans="1:10" s="8" customFormat="1" ht="22.5" customHeight="1">
      <c r="A139" s="543"/>
      <c r="B139" s="553"/>
      <c r="C139" s="553"/>
      <c r="D139" s="543"/>
      <c r="E139" s="543"/>
      <c r="F139" s="543"/>
      <c r="G139" s="543"/>
      <c r="H139" s="543"/>
      <c r="I139" s="543"/>
      <c r="J139" s="543"/>
    </row>
    <row r="140" spans="1:10" s="8" customFormat="1" ht="22.5" customHeight="1">
      <c r="A140" s="543"/>
      <c r="B140" s="553"/>
      <c r="C140" s="553"/>
      <c r="D140" s="543"/>
      <c r="E140" s="543"/>
      <c r="F140" s="543"/>
      <c r="G140" s="543"/>
      <c r="H140" s="543"/>
      <c r="I140" s="543"/>
      <c r="J140" s="543"/>
    </row>
    <row r="141" spans="1:10" s="8" customFormat="1" ht="22.5" customHeight="1">
      <c r="A141" s="543"/>
      <c r="B141" s="553"/>
      <c r="C141" s="553"/>
      <c r="D141" s="543"/>
      <c r="E141" s="543"/>
      <c r="F141" s="543"/>
      <c r="G141" s="543"/>
      <c r="H141" s="543"/>
      <c r="I141" s="543"/>
      <c r="J141" s="543"/>
    </row>
    <row r="142" spans="1:10" s="8" customFormat="1" ht="22.5" customHeight="1">
      <c r="A142" s="543"/>
      <c r="B142" s="553"/>
      <c r="C142" s="553"/>
      <c r="D142" s="543"/>
      <c r="E142" s="543"/>
      <c r="F142" s="543"/>
      <c r="G142" s="543"/>
      <c r="H142" s="543"/>
      <c r="I142" s="543"/>
      <c r="J142" s="543"/>
    </row>
    <row r="143" spans="1:10" s="8" customFormat="1" ht="22.5" customHeight="1">
      <c r="A143" s="543"/>
      <c r="B143" s="553"/>
      <c r="C143" s="553"/>
      <c r="D143" s="543"/>
      <c r="E143" s="543"/>
      <c r="F143" s="543"/>
      <c r="G143" s="543"/>
      <c r="H143" s="543"/>
      <c r="I143" s="543"/>
      <c r="J143" s="543"/>
    </row>
    <row r="144" spans="1:10" s="8" customFormat="1" ht="22.5" customHeight="1">
      <c r="A144" s="543"/>
      <c r="B144" s="553"/>
      <c r="C144" s="553"/>
      <c r="D144" s="543"/>
      <c r="E144" s="543"/>
      <c r="F144" s="543"/>
      <c r="G144" s="543"/>
      <c r="H144" s="543"/>
      <c r="I144" s="543"/>
      <c r="J144" s="543"/>
    </row>
    <row r="145" spans="1:10" s="8" customFormat="1" ht="22.5" customHeight="1">
      <c r="A145" s="543"/>
      <c r="B145" s="553"/>
      <c r="C145" s="553"/>
      <c r="D145" s="543"/>
      <c r="E145" s="543"/>
      <c r="F145" s="543"/>
      <c r="G145" s="543"/>
      <c r="H145" s="543"/>
      <c r="I145" s="543"/>
      <c r="J145" s="543"/>
    </row>
    <row r="146" spans="1:10" s="8" customFormat="1" ht="22.5" customHeight="1">
      <c r="A146" s="543"/>
      <c r="B146" s="553"/>
      <c r="C146" s="553"/>
      <c r="D146" s="543"/>
      <c r="E146" s="543"/>
      <c r="F146" s="543"/>
      <c r="G146" s="543"/>
      <c r="H146" s="543"/>
      <c r="I146" s="543"/>
      <c r="J146" s="543"/>
    </row>
    <row r="147" spans="1:10" s="8" customFormat="1" ht="22.5" customHeight="1">
      <c r="A147" s="543"/>
      <c r="B147" s="553"/>
      <c r="C147" s="553"/>
      <c r="D147" s="543"/>
      <c r="E147" s="543"/>
      <c r="F147" s="543"/>
      <c r="G147" s="543"/>
      <c r="H147" s="543"/>
      <c r="I147" s="543"/>
      <c r="J147" s="543"/>
    </row>
    <row r="148" spans="1:10" s="8" customFormat="1" ht="22.5" customHeight="1">
      <c r="A148" s="543"/>
      <c r="B148" s="553"/>
      <c r="C148" s="553"/>
      <c r="D148" s="543"/>
      <c r="E148" s="543"/>
      <c r="F148" s="543"/>
      <c r="G148" s="543"/>
      <c r="H148" s="543"/>
      <c r="I148" s="543"/>
      <c r="J148" s="543"/>
    </row>
    <row r="149" spans="1:10" s="8" customFormat="1" ht="22.5" customHeight="1">
      <c r="A149" s="543"/>
      <c r="B149" s="553"/>
      <c r="C149" s="553"/>
      <c r="D149" s="543"/>
      <c r="E149" s="543"/>
      <c r="F149" s="543"/>
      <c r="G149" s="543"/>
      <c r="H149" s="543"/>
      <c r="I149" s="543"/>
      <c r="J149" s="543"/>
    </row>
    <row r="150" spans="1:10" s="8" customFormat="1" ht="22.5" customHeight="1">
      <c r="B150" s="38"/>
      <c r="C150" s="38"/>
    </row>
    <row r="151" spans="1:10" s="8" customFormat="1" ht="22.5" customHeight="1">
      <c r="B151" s="38"/>
      <c r="C151" s="38"/>
    </row>
    <row r="152" spans="1:10" s="8" customFormat="1" ht="22.5" customHeight="1">
      <c r="B152" s="38"/>
      <c r="C152" s="38"/>
    </row>
    <row r="153" spans="1:10" s="8" customFormat="1" ht="22.5" customHeight="1">
      <c r="B153" s="38"/>
      <c r="C153" s="38"/>
    </row>
    <row r="154" spans="1:10" s="8" customFormat="1" ht="22.5" customHeight="1">
      <c r="B154" s="38"/>
      <c r="C154" s="38"/>
    </row>
    <row r="155" spans="1:10" s="8" customFormat="1" ht="22.5" customHeight="1">
      <c r="B155" s="38"/>
      <c r="C155" s="38"/>
    </row>
    <row r="156" spans="1:10" s="8" customFormat="1" ht="22.5" customHeight="1">
      <c r="B156" s="38"/>
      <c r="C156" s="38"/>
    </row>
    <row r="157" spans="1:10" s="8" customFormat="1" ht="22.5" customHeight="1">
      <c r="B157" s="38"/>
      <c r="C157" s="38"/>
    </row>
    <row r="158" spans="1:10" s="8" customFormat="1" ht="22.5" customHeight="1">
      <c r="B158" s="38"/>
      <c r="C158" s="38"/>
    </row>
    <row r="159" spans="1:10" s="8" customFormat="1" ht="22.5" customHeight="1">
      <c r="B159" s="38"/>
      <c r="C159" s="38"/>
    </row>
    <row r="160" spans="1:10" s="8" customFormat="1" ht="22.5" customHeight="1">
      <c r="B160" s="38"/>
      <c r="C160" s="38"/>
    </row>
    <row r="161" spans="2:3" s="8" customFormat="1" ht="22.5" customHeight="1">
      <c r="B161" s="38"/>
      <c r="C161" s="38"/>
    </row>
    <row r="162" spans="2:3" s="8" customFormat="1" ht="22.5" customHeight="1">
      <c r="B162" s="38"/>
      <c r="C162" s="38"/>
    </row>
    <row r="163" spans="2:3" s="8" customFormat="1" ht="22.5" customHeight="1">
      <c r="B163" s="38"/>
      <c r="C163" s="38"/>
    </row>
    <row r="164" spans="2:3" s="8" customFormat="1" ht="22.5" customHeight="1">
      <c r="B164" s="38"/>
      <c r="C164" s="38"/>
    </row>
    <row r="165" spans="2:3" s="8" customFormat="1" ht="22.5" customHeight="1">
      <c r="B165" s="38"/>
      <c r="C165" s="38"/>
    </row>
    <row r="166" spans="2:3" s="8" customFormat="1" ht="22.5" customHeight="1">
      <c r="B166" s="38"/>
      <c r="C166" s="38"/>
    </row>
    <row r="167" spans="2:3" s="8" customFormat="1" ht="22.5" customHeight="1">
      <c r="B167" s="38"/>
      <c r="C167" s="38"/>
    </row>
    <row r="168" spans="2:3" s="8" customFormat="1" ht="22.5" customHeight="1">
      <c r="B168" s="38"/>
      <c r="C168" s="38"/>
    </row>
    <row r="169" spans="2:3" s="8" customFormat="1" ht="22.5" customHeight="1">
      <c r="B169" s="38"/>
      <c r="C169" s="38"/>
    </row>
    <row r="170" spans="2:3" s="8" customFormat="1" ht="22.5" customHeight="1">
      <c r="B170" s="38"/>
      <c r="C170" s="38"/>
    </row>
    <row r="171" spans="2:3" s="8" customFormat="1" ht="22.5" customHeight="1">
      <c r="B171" s="38"/>
      <c r="C171" s="38"/>
    </row>
    <row r="172" spans="2:3" s="8" customFormat="1" ht="22.5" customHeight="1">
      <c r="B172" s="38"/>
      <c r="C172" s="38"/>
    </row>
    <row r="173" spans="2:3" s="8" customFormat="1" ht="22.5" customHeight="1">
      <c r="B173" s="38"/>
      <c r="C173" s="38"/>
    </row>
    <row r="174" spans="2:3" s="8" customFormat="1" ht="22.5" customHeight="1">
      <c r="B174" s="38"/>
      <c r="C174" s="38"/>
    </row>
    <row r="175" spans="2:3" s="8" customFormat="1" ht="22.5" customHeight="1">
      <c r="B175" s="38"/>
      <c r="C175" s="38"/>
    </row>
    <row r="176" spans="2:3" s="8" customFormat="1" ht="22.5" customHeight="1">
      <c r="B176" s="38"/>
      <c r="C176" s="38"/>
    </row>
    <row r="177" spans="2:3" s="8" customFormat="1" ht="22.5" customHeight="1">
      <c r="B177" s="38"/>
      <c r="C177" s="38"/>
    </row>
    <row r="178" spans="2:3" s="8" customFormat="1" ht="22.5" customHeight="1">
      <c r="B178" s="38"/>
      <c r="C178" s="38"/>
    </row>
    <row r="179" spans="2:3" s="8" customFormat="1" ht="22.5" customHeight="1">
      <c r="B179" s="38"/>
      <c r="C179" s="38"/>
    </row>
    <row r="180" spans="2:3" s="8" customFormat="1" ht="22.5" customHeight="1">
      <c r="B180" s="38"/>
      <c r="C180" s="38"/>
    </row>
    <row r="181" spans="2:3" s="8" customFormat="1" ht="22.5" customHeight="1">
      <c r="B181" s="38"/>
      <c r="C181" s="38"/>
    </row>
    <row r="182" spans="2:3" s="8" customFormat="1" ht="22.5" customHeight="1">
      <c r="B182" s="38"/>
      <c r="C182" s="38"/>
    </row>
    <row r="183" spans="2:3" s="8" customFormat="1" ht="22.5" customHeight="1">
      <c r="B183" s="38"/>
      <c r="C183" s="38"/>
    </row>
    <row r="184" spans="2:3" s="8" customFormat="1" ht="22.5" customHeight="1">
      <c r="B184" s="38"/>
      <c r="C184" s="38"/>
    </row>
    <row r="185" spans="2:3" s="8" customFormat="1" ht="22.5" customHeight="1">
      <c r="B185" s="38"/>
      <c r="C185" s="38"/>
    </row>
    <row r="186" spans="2:3" s="8" customFormat="1" ht="22.5" customHeight="1">
      <c r="B186" s="38"/>
      <c r="C186" s="38"/>
    </row>
    <row r="187" spans="2:3" s="8" customFormat="1" ht="22.5" customHeight="1">
      <c r="B187" s="38"/>
      <c r="C187" s="38"/>
    </row>
    <row r="188" spans="2:3" s="8" customFormat="1" ht="22.5" customHeight="1">
      <c r="B188" s="38"/>
      <c r="C188" s="38"/>
    </row>
    <row r="189" spans="2:3" s="8" customFormat="1" ht="22.5" customHeight="1">
      <c r="B189" s="38"/>
      <c r="C189" s="38"/>
    </row>
    <row r="190" spans="2:3" s="8" customFormat="1" ht="22.5" customHeight="1">
      <c r="B190" s="38"/>
      <c r="C190" s="38"/>
    </row>
    <row r="191" spans="2:3" s="8" customFormat="1" ht="22.5" customHeight="1">
      <c r="B191" s="38"/>
      <c r="C191" s="38"/>
    </row>
    <row r="192" spans="2:3" s="8" customFormat="1" ht="22.5" customHeight="1">
      <c r="B192" s="38"/>
      <c r="C192" s="38"/>
    </row>
    <row r="193" spans="2:3" s="8" customFormat="1" ht="22.5" customHeight="1">
      <c r="B193" s="38"/>
      <c r="C193" s="38"/>
    </row>
    <row r="194" spans="2:3" s="8" customFormat="1" ht="22.5" customHeight="1">
      <c r="B194" s="38"/>
      <c r="C194" s="38"/>
    </row>
    <row r="195" spans="2:3" s="8" customFormat="1" ht="22.5" customHeight="1">
      <c r="B195" s="38"/>
      <c r="C195" s="38"/>
    </row>
    <row r="196" spans="2:3" s="8" customFormat="1" ht="22.5" customHeight="1">
      <c r="B196" s="38"/>
      <c r="C196" s="38"/>
    </row>
    <row r="197" spans="2:3" s="8" customFormat="1" ht="22.5" customHeight="1">
      <c r="B197" s="38"/>
      <c r="C197" s="38"/>
    </row>
    <row r="198" spans="2:3" s="8" customFormat="1" ht="22.5" customHeight="1">
      <c r="B198" s="38"/>
      <c r="C198" s="38"/>
    </row>
    <row r="199" spans="2:3" s="8" customFormat="1" ht="22.5" customHeight="1">
      <c r="B199" s="38"/>
      <c r="C199" s="38"/>
    </row>
    <row r="200" spans="2:3" s="8" customFormat="1" ht="22.5" customHeight="1">
      <c r="B200" s="38"/>
      <c r="C200" s="38"/>
    </row>
    <row r="201" spans="2:3" s="8" customFormat="1" ht="22.5" customHeight="1">
      <c r="B201" s="38"/>
      <c r="C201" s="38"/>
    </row>
    <row r="202" spans="2:3" s="8" customFormat="1" ht="22.5" customHeight="1">
      <c r="B202" s="38"/>
      <c r="C202" s="38"/>
    </row>
    <row r="203" spans="2:3" s="8" customFormat="1" ht="22.5" customHeight="1">
      <c r="B203" s="38"/>
      <c r="C203" s="38"/>
    </row>
    <row r="204" spans="2:3" s="8" customFormat="1" ht="22.5" customHeight="1">
      <c r="B204" s="38"/>
      <c r="C204" s="38"/>
    </row>
    <row r="205" spans="2:3" s="8" customFormat="1" ht="22.5" customHeight="1">
      <c r="B205" s="38"/>
      <c r="C205" s="38"/>
    </row>
    <row r="206" spans="2:3" s="8" customFormat="1" ht="22.5" customHeight="1">
      <c r="B206" s="38"/>
      <c r="C206" s="38"/>
    </row>
    <row r="207" spans="2:3" s="8" customFormat="1" ht="22.5" customHeight="1">
      <c r="B207" s="38"/>
      <c r="C207" s="38"/>
    </row>
    <row r="208" spans="2:3" s="8" customFormat="1" ht="22.5" customHeight="1">
      <c r="B208" s="38"/>
      <c r="C208" s="38"/>
    </row>
    <row r="209" spans="2:3" s="8" customFormat="1" ht="22.5" customHeight="1">
      <c r="B209" s="38"/>
      <c r="C209" s="38"/>
    </row>
    <row r="210" spans="2:3" s="8" customFormat="1" ht="22.5" customHeight="1">
      <c r="B210" s="38"/>
      <c r="C210" s="38"/>
    </row>
    <row r="211" spans="2:3" s="8" customFormat="1" ht="22.5" customHeight="1">
      <c r="B211" s="38"/>
      <c r="C211" s="38"/>
    </row>
    <row r="212" spans="2:3" s="8" customFormat="1" ht="22.5" customHeight="1">
      <c r="B212" s="38"/>
      <c r="C212" s="38"/>
    </row>
    <row r="213" spans="2:3" s="8" customFormat="1" ht="22.5" customHeight="1">
      <c r="B213" s="38"/>
      <c r="C213" s="38"/>
    </row>
    <row r="214" spans="2:3" s="8" customFormat="1" ht="22.5" customHeight="1">
      <c r="B214" s="38"/>
      <c r="C214" s="38"/>
    </row>
    <row r="215" spans="2:3" s="8" customFormat="1" ht="22.5" customHeight="1">
      <c r="B215" s="38"/>
      <c r="C215" s="38"/>
    </row>
    <row r="216" spans="2:3" s="8" customFormat="1" ht="22.5" customHeight="1">
      <c r="B216" s="38"/>
      <c r="C216" s="38"/>
    </row>
    <row r="217" spans="2:3" s="8" customFormat="1" ht="22.5" customHeight="1">
      <c r="B217" s="38"/>
      <c r="C217" s="38"/>
    </row>
    <row r="218" spans="2:3" s="8" customFormat="1" ht="22.5" customHeight="1">
      <c r="B218" s="38"/>
      <c r="C218" s="38"/>
    </row>
    <row r="219" spans="2:3" s="8" customFormat="1" ht="22.5" customHeight="1">
      <c r="B219" s="38"/>
      <c r="C219" s="38"/>
    </row>
    <row r="220" spans="2:3" s="8" customFormat="1" ht="15.75">
      <c r="B220" s="38"/>
      <c r="C220" s="38"/>
    </row>
    <row r="221" spans="2:3" s="8" customFormat="1" ht="15.75">
      <c r="B221" s="38"/>
      <c r="C221" s="38"/>
    </row>
    <row r="222" spans="2:3" s="8" customFormat="1" ht="15.75">
      <c r="B222" s="38"/>
      <c r="C222" s="38"/>
    </row>
    <row r="223" spans="2:3" s="8" customFormat="1" ht="15.75">
      <c r="B223" s="38"/>
      <c r="C223" s="38"/>
    </row>
    <row r="224" spans="2:3" s="8" customFormat="1" ht="15.75">
      <c r="B224" s="38"/>
      <c r="C224" s="38"/>
    </row>
    <row r="225" spans="2:3" s="8" customFormat="1" ht="15.75">
      <c r="B225" s="38"/>
      <c r="C225" s="38"/>
    </row>
    <row r="226" spans="2:3" s="8" customFormat="1" ht="15.75">
      <c r="B226" s="38"/>
      <c r="C226" s="38"/>
    </row>
    <row r="227" spans="2:3" s="8" customFormat="1" ht="15.75">
      <c r="B227" s="38"/>
      <c r="C227" s="38"/>
    </row>
    <row r="228" spans="2:3" s="8" customFormat="1" ht="15.75">
      <c r="B228" s="38"/>
      <c r="C228" s="38"/>
    </row>
    <row r="229" spans="2:3" s="8" customFormat="1" ht="15.75">
      <c r="B229" s="38"/>
      <c r="C229" s="38"/>
    </row>
    <row r="230" spans="2:3" s="8" customFormat="1" ht="15.75">
      <c r="B230" s="38"/>
      <c r="C230" s="38"/>
    </row>
    <row r="231" spans="2:3" s="8" customFormat="1" ht="15.75">
      <c r="B231" s="38"/>
      <c r="C231" s="38"/>
    </row>
    <row r="232" spans="2:3" s="8" customFormat="1" ht="15.75">
      <c r="B232" s="38"/>
      <c r="C232" s="38"/>
    </row>
    <row r="233" spans="2:3" s="8" customFormat="1" ht="15.75">
      <c r="B233" s="38"/>
      <c r="C233" s="38"/>
    </row>
    <row r="234" spans="2:3" s="8" customFormat="1" ht="15.75">
      <c r="B234" s="38"/>
      <c r="C234" s="38"/>
    </row>
    <row r="235" spans="2:3" s="8" customFormat="1" ht="15.75">
      <c r="B235" s="38"/>
      <c r="C235" s="38"/>
    </row>
    <row r="236" spans="2:3" s="8" customFormat="1" ht="15.75">
      <c r="B236" s="38"/>
      <c r="C236" s="38"/>
    </row>
    <row r="237" spans="2:3" s="8" customFormat="1" ht="15.75">
      <c r="B237" s="38"/>
      <c r="C237" s="38"/>
    </row>
    <row r="238" spans="2:3" s="8" customFormat="1" ht="15.75">
      <c r="B238" s="38"/>
      <c r="C238" s="38"/>
    </row>
    <row r="239" spans="2:3" s="8" customFormat="1" ht="15.75">
      <c r="B239" s="38"/>
      <c r="C239" s="38"/>
    </row>
    <row r="240" spans="2:3" s="8" customFormat="1" ht="15.75">
      <c r="B240" s="38"/>
      <c r="C240" s="38"/>
    </row>
    <row r="241" spans="2:3" s="8" customFormat="1" ht="15.75">
      <c r="B241" s="38"/>
      <c r="C241" s="38"/>
    </row>
    <row r="242" spans="2:3" s="8" customFormat="1" ht="15.75">
      <c r="B242" s="38"/>
      <c r="C242" s="38"/>
    </row>
    <row r="243" spans="2:3" s="8" customFormat="1" ht="15.75">
      <c r="B243" s="38"/>
      <c r="C243" s="38"/>
    </row>
    <row r="244" spans="2:3" s="8" customFormat="1" ht="15.75">
      <c r="B244" s="38"/>
      <c r="C244" s="38"/>
    </row>
    <row r="245" spans="2:3" s="8" customFormat="1" ht="15.75">
      <c r="B245" s="38"/>
      <c r="C245" s="38"/>
    </row>
    <row r="246" spans="2:3" s="8" customFormat="1" ht="15.75">
      <c r="B246" s="38"/>
      <c r="C246" s="38"/>
    </row>
    <row r="247" spans="2:3" s="8" customFormat="1" ht="15.75">
      <c r="B247" s="38"/>
      <c r="C247" s="38"/>
    </row>
    <row r="248" spans="2:3" s="8" customFormat="1" ht="15.75">
      <c r="B248" s="38"/>
      <c r="C248" s="38"/>
    </row>
    <row r="249" spans="2:3" s="8" customFormat="1" ht="15.75">
      <c r="B249" s="38"/>
      <c r="C249" s="38"/>
    </row>
    <row r="250" spans="2:3" s="8" customFormat="1" ht="15.75">
      <c r="B250" s="38"/>
      <c r="C250" s="38"/>
    </row>
    <row r="251" spans="2:3" s="8" customFormat="1" ht="15.75">
      <c r="B251" s="38"/>
      <c r="C251" s="38"/>
    </row>
    <row r="252" spans="2:3" s="8" customFormat="1" ht="15.75">
      <c r="B252" s="38"/>
      <c r="C252" s="38"/>
    </row>
    <row r="253" spans="2:3" s="8" customFormat="1" ht="15.75">
      <c r="B253" s="38"/>
      <c r="C253" s="38"/>
    </row>
    <row r="254" spans="2:3" s="8" customFormat="1" ht="15.75">
      <c r="B254" s="38"/>
      <c r="C254" s="38"/>
    </row>
    <row r="255" spans="2:3" s="8" customFormat="1" ht="15.75">
      <c r="B255" s="38"/>
      <c r="C255" s="38"/>
    </row>
    <row r="256" spans="2:3" s="8" customFormat="1" ht="15.75">
      <c r="B256" s="38"/>
      <c r="C256" s="38"/>
    </row>
    <row r="257" spans="2:3" s="8" customFormat="1" ht="15.75">
      <c r="B257" s="38"/>
      <c r="C257" s="38"/>
    </row>
    <row r="258" spans="2:3" s="8" customFormat="1" ht="15.75">
      <c r="B258" s="38"/>
      <c r="C258" s="38"/>
    </row>
    <row r="259" spans="2:3" s="8" customFormat="1" ht="15.75">
      <c r="B259" s="38"/>
      <c r="C259" s="38"/>
    </row>
    <row r="260" spans="2:3" s="8" customFormat="1" ht="15.75">
      <c r="B260" s="38"/>
      <c r="C260" s="38"/>
    </row>
    <row r="261" spans="2:3" s="8" customFormat="1" ht="15.75">
      <c r="B261" s="38"/>
      <c r="C261" s="38"/>
    </row>
    <row r="262" spans="2:3" s="8" customFormat="1" ht="15.75">
      <c r="B262" s="38"/>
      <c r="C262" s="38"/>
    </row>
    <row r="263" spans="2:3" s="8" customFormat="1" ht="15.75">
      <c r="B263" s="38"/>
      <c r="C263" s="38"/>
    </row>
    <row r="264" spans="2:3" s="8" customFormat="1" ht="15.75">
      <c r="B264" s="38"/>
      <c r="C264" s="38"/>
    </row>
    <row r="265" spans="2:3" s="8" customFormat="1" ht="15.75">
      <c r="B265" s="38"/>
      <c r="C265" s="38"/>
    </row>
    <row r="266" spans="2:3" s="8" customFormat="1" ht="15.75">
      <c r="B266" s="38"/>
      <c r="C266" s="38"/>
    </row>
    <row r="267" spans="2:3" s="8" customFormat="1" ht="15.75">
      <c r="B267" s="38"/>
      <c r="C267" s="38"/>
    </row>
    <row r="268" spans="2:3" s="8" customFormat="1" ht="15.75">
      <c r="B268" s="38"/>
      <c r="C268" s="38"/>
    </row>
    <row r="269" spans="2:3" s="8" customFormat="1" ht="15.75">
      <c r="B269" s="38"/>
      <c r="C269" s="38"/>
    </row>
    <row r="270" spans="2:3" s="8" customFormat="1" ht="15.75">
      <c r="B270" s="38"/>
      <c r="C270" s="38"/>
    </row>
    <row r="271" spans="2:3" s="8" customFormat="1" ht="15.75">
      <c r="B271" s="38"/>
      <c r="C271" s="38"/>
    </row>
    <row r="272" spans="2:3" s="8" customFormat="1" ht="15.75">
      <c r="B272" s="38"/>
      <c r="C272" s="38"/>
    </row>
    <row r="273" spans="2:3" s="8" customFormat="1" ht="15.75">
      <c r="B273" s="38"/>
      <c r="C273" s="38"/>
    </row>
    <row r="274" spans="2:3" s="8" customFormat="1" ht="15.75">
      <c r="B274" s="38"/>
      <c r="C274" s="38"/>
    </row>
    <row r="275" spans="2:3" s="8" customFormat="1" ht="15.75">
      <c r="B275" s="38"/>
      <c r="C275" s="38"/>
    </row>
    <row r="276" spans="2:3" s="8" customFormat="1" ht="15.75">
      <c r="B276" s="38"/>
      <c r="C276" s="38"/>
    </row>
    <row r="277" spans="2:3" s="8" customFormat="1" ht="15.75">
      <c r="B277" s="38"/>
      <c r="C277" s="38"/>
    </row>
    <row r="278" spans="2:3" s="8" customFormat="1" ht="15.75">
      <c r="B278" s="38"/>
      <c r="C278" s="38"/>
    </row>
    <row r="279" spans="2:3" s="8" customFormat="1" ht="15.75">
      <c r="B279" s="38"/>
      <c r="C279" s="38"/>
    </row>
    <row r="280" spans="2:3" s="8" customFormat="1" ht="15.75">
      <c r="B280" s="38"/>
      <c r="C280" s="38"/>
    </row>
    <row r="281" spans="2:3" s="8" customFormat="1" ht="15.75">
      <c r="B281" s="38"/>
      <c r="C281" s="38"/>
    </row>
    <row r="282" spans="2:3" s="8" customFormat="1" ht="15.75">
      <c r="B282" s="38"/>
      <c r="C282" s="38"/>
    </row>
    <row r="283" spans="2:3" s="8" customFormat="1" ht="15.75">
      <c r="B283" s="38"/>
      <c r="C283" s="38"/>
    </row>
    <row r="284" spans="2:3" s="8" customFormat="1" ht="15.75">
      <c r="B284" s="38"/>
      <c r="C284" s="38"/>
    </row>
    <row r="285" spans="2:3" s="8" customFormat="1" ht="15.75">
      <c r="B285" s="38"/>
      <c r="C285" s="38"/>
    </row>
    <row r="286" spans="2:3" s="8" customFormat="1" ht="15.75">
      <c r="B286" s="38"/>
      <c r="C286" s="38"/>
    </row>
    <row r="287" spans="2:3" s="8" customFormat="1" ht="15.75">
      <c r="B287" s="38"/>
      <c r="C287" s="38"/>
    </row>
    <row r="288" spans="2:3" s="8" customFormat="1" ht="15.75">
      <c r="B288" s="38"/>
      <c r="C288" s="38"/>
    </row>
    <row r="289" spans="2:3" s="8" customFormat="1" ht="15.75">
      <c r="B289" s="38"/>
      <c r="C289" s="38"/>
    </row>
    <row r="290" spans="2:3" s="8" customFormat="1" ht="15.75">
      <c r="B290" s="38"/>
      <c r="C290" s="38"/>
    </row>
    <row r="291" spans="2:3" s="8" customFormat="1" ht="15.75">
      <c r="B291" s="38"/>
      <c r="C291" s="38"/>
    </row>
    <row r="292" spans="2:3" s="8" customFormat="1" ht="15.75">
      <c r="B292" s="38"/>
      <c r="C292" s="38"/>
    </row>
    <row r="293" spans="2:3" s="8" customFormat="1" ht="15.75">
      <c r="B293" s="38"/>
      <c r="C293" s="38"/>
    </row>
    <row r="294" spans="2:3" s="8" customFormat="1" ht="15.75">
      <c r="B294" s="38"/>
      <c r="C294" s="38"/>
    </row>
    <row r="295" spans="2:3" s="8" customFormat="1" ht="15.75">
      <c r="B295" s="38"/>
      <c r="C295" s="38"/>
    </row>
    <row r="296" spans="2:3" s="8" customFormat="1" ht="15.75">
      <c r="B296" s="38"/>
      <c r="C296" s="38"/>
    </row>
    <row r="297" spans="2:3" s="8" customFormat="1" ht="15.75">
      <c r="B297" s="38"/>
      <c r="C297" s="38"/>
    </row>
    <row r="298" spans="2:3" s="8" customFormat="1" ht="15.75">
      <c r="B298" s="38"/>
      <c r="C298" s="38"/>
    </row>
    <row r="299" spans="2:3" s="8" customFormat="1" ht="15.75">
      <c r="B299" s="38"/>
      <c r="C299" s="38"/>
    </row>
    <row r="300" spans="2:3" s="8" customFormat="1" ht="15.75">
      <c r="B300" s="38"/>
      <c r="C300" s="38"/>
    </row>
    <row r="301" spans="2:3" s="8" customFormat="1" ht="15.75">
      <c r="B301" s="38"/>
      <c r="C301" s="38"/>
    </row>
    <row r="302" spans="2:3" s="8" customFormat="1" ht="15.75">
      <c r="B302" s="38"/>
      <c r="C302" s="38"/>
    </row>
    <row r="303" spans="2:3" s="8" customFormat="1" ht="15.75">
      <c r="B303" s="38"/>
      <c r="C303" s="38"/>
    </row>
    <row r="304" spans="2:3" s="8" customFormat="1" ht="15.75">
      <c r="B304" s="38"/>
      <c r="C304" s="38"/>
    </row>
    <row r="305" spans="2:3" s="8" customFormat="1" ht="15.75">
      <c r="B305" s="38"/>
      <c r="C305" s="38"/>
    </row>
    <row r="306" spans="2:3" s="8" customFormat="1" ht="15.75">
      <c r="B306" s="38"/>
      <c r="C306" s="38"/>
    </row>
    <row r="307" spans="2:3" s="8" customFormat="1" ht="15.75">
      <c r="B307" s="38"/>
      <c r="C307" s="38"/>
    </row>
    <row r="308" spans="2:3" s="8" customFormat="1" ht="15.75">
      <c r="B308" s="38"/>
      <c r="C308" s="38"/>
    </row>
    <row r="309" spans="2:3" s="8" customFormat="1" ht="15.75">
      <c r="B309" s="38"/>
      <c r="C309" s="38"/>
    </row>
    <row r="310" spans="2:3" s="8" customFormat="1" ht="15.75">
      <c r="B310" s="38"/>
      <c r="C310" s="38"/>
    </row>
    <row r="311" spans="2:3" s="8" customFormat="1" ht="15.75">
      <c r="B311" s="38"/>
      <c r="C311" s="38"/>
    </row>
    <row r="312" spans="2:3" s="8" customFormat="1" ht="15.75">
      <c r="B312" s="38"/>
      <c r="C312" s="38"/>
    </row>
    <row r="313" spans="2:3" s="8" customFormat="1" ht="15.75">
      <c r="B313" s="38"/>
      <c r="C313" s="38"/>
    </row>
    <row r="314" spans="2:3" s="8" customFormat="1" ht="15.75">
      <c r="B314" s="38"/>
      <c r="C314" s="38"/>
    </row>
    <row r="315" spans="2:3" s="8" customFormat="1" ht="15.75">
      <c r="B315" s="38"/>
      <c r="C315" s="38"/>
    </row>
    <row r="316" spans="2:3" s="8" customFormat="1" ht="15.75">
      <c r="B316" s="38"/>
      <c r="C316" s="38"/>
    </row>
    <row r="317" spans="2:3" s="8" customFormat="1" ht="15.75">
      <c r="B317" s="38"/>
      <c r="C317" s="38"/>
    </row>
    <row r="318" spans="2:3" s="8" customFormat="1" ht="15.75">
      <c r="B318" s="38"/>
      <c r="C318" s="38"/>
    </row>
    <row r="319" spans="2:3" s="8" customFormat="1" ht="15.75">
      <c r="B319" s="38"/>
      <c r="C319" s="38"/>
    </row>
    <row r="320" spans="2:3" s="8" customFormat="1" ht="15.75">
      <c r="B320" s="38"/>
      <c r="C320" s="38"/>
    </row>
    <row r="321" spans="2:3" s="8" customFormat="1" ht="15.75">
      <c r="B321" s="38"/>
      <c r="C321" s="38"/>
    </row>
    <row r="322" spans="2:3" s="8" customFormat="1" ht="15.75">
      <c r="B322" s="38"/>
      <c r="C322" s="38"/>
    </row>
    <row r="323" spans="2:3" s="8" customFormat="1" ht="15.75">
      <c r="B323" s="38"/>
      <c r="C323" s="38"/>
    </row>
    <row r="324" spans="2:3" s="8" customFormat="1" ht="15.75">
      <c r="B324" s="38"/>
      <c r="C324" s="38"/>
    </row>
    <row r="325" spans="2:3" s="8" customFormat="1" ht="15.75">
      <c r="B325" s="38"/>
      <c r="C325" s="38"/>
    </row>
    <row r="326" spans="2:3" s="8" customFormat="1" ht="15.75">
      <c r="B326" s="38"/>
      <c r="C326" s="38"/>
    </row>
    <row r="327" spans="2:3" s="8" customFormat="1" ht="15.75">
      <c r="B327" s="38"/>
      <c r="C327" s="38"/>
    </row>
    <row r="328" spans="2:3" s="8" customFormat="1" ht="15.75">
      <c r="B328" s="38"/>
      <c r="C328" s="38"/>
    </row>
    <row r="329" spans="2:3" s="8" customFormat="1" ht="15.75">
      <c r="B329" s="38"/>
      <c r="C329" s="38"/>
    </row>
    <row r="330" spans="2:3" s="8" customFormat="1" ht="15.75">
      <c r="B330" s="38"/>
      <c r="C330" s="38"/>
    </row>
    <row r="331" spans="2:3" s="8" customFormat="1" ht="15.75">
      <c r="B331" s="38"/>
      <c r="C331" s="38"/>
    </row>
    <row r="332" spans="2:3" s="8" customFormat="1" ht="15.75">
      <c r="B332" s="38"/>
      <c r="C332" s="38"/>
    </row>
    <row r="333" spans="2:3" s="8" customFormat="1" ht="15.75">
      <c r="B333" s="38"/>
      <c r="C333" s="38"/>
    </row>
    <row r="334" spans="2:3" s="8" customFormat="1" ht="15.75">
      <c r="B334" s="38"/>
      <c r="C334" s="38"/>
    </row>
    <row r="335" spans="2:3" s="8" customFormat="1" ht="15.75">
      <c r="B335" s="38"/>
      <c r="C335" s="38"/>
    </row>
    <row r="336" spans="2:3" s="8" customFormat="1" ht="15.75">
      <c r="B336" s="38"/>
      <c r="C336" s="38"/>
    </row>
    <row r="337" spans="2:3" s="8" customFormat="1" ht="15.75">
      <c r="B337" s="38"/>
      <c r="C337" s="38"/>
    </row>
    <row r="338" spans="2:3" s="8" customFormat="1" ht="15.75">
      <c r="B338" s="38"/>
      <c r="C338" s="38"/>
    </row>
    <row r="339" spans="2:3" s="8" customFormat="1" ht="15.75">
      <c r="B339" s="38"/>
      <c r="C339" s="38"/>
    </row>
    <row r="340" spans="2:3" s="8" customFormat="1" ht="15.75">
      <c r="B340" s="38"/>
      <c r="C340" s="38"/>
    </row>
    <row r="341" spans="2:3" s="8" customFormat="1" ht="15.75">
      <c r="B341" s="38"/>
      <c r="C341" s="38"/>
    </row>
    <row r="342" spans="2:3" s="8" customFormat="1" ht="15.75">
      <c r="B342" s="38"/>
      <c r="C342" s="38"/>
    </row>
    <row r="343" spans="2:3" s="8" customFormat="1" ht="15.75">
      <c r="B343" s="38"/>
      <c r="C343" s="38"/>
    </row>
    <row r="344" spans="2:3" s="8" customFormat="1" ht="15.75">
      <c r="B344" s="38"/>
      <c r="C344" s="38"/>
    </row>
    <row r="345" spans="2:3" s="8" customFormat="1" ht="15.75">
      <c r="B345" s="38"/>
      <c r="C345" s="38"/>
    </row>
    <row r="346" spans="2:3" s="8" customFormat="1" ht="15.75">
      <c r="B346" s="38"/>
      <c r="C346" s="38"/>
    </row>
    <row r="347" spans="2:3" s="8" customFormat="1" ht="15.75">
      <c r="B347" s="38"/>
      <c r="C347" s="38"/>
    </row>
    <row r="348" spans="2:3" s="8" customFormat="1" ht="15.75">
      <c r="B348" s="38"/>
      <c r="C348" s="38"/>
    </row>
    <row r="349" spans="2:3" s="8" customFormat="1" ht="15.75">
      <c r="B349" s="38"/>
      <c r="C349" s="38"/>
    </row>
    <row r="350" spans="2:3" s="8" customFormat="1" ht="15.75">
      <c r="B350" s="38"/>
      <c r="C350" s="38"/>
    </row>
    <row r="351" spans="2:3" s="8" customFormat="1" ht="15.75">
      <c r="B351" s="38"/>
      <c r="C351" s="38"/>
    </row>
    <row r="352" spans="2:3" s="8" customFormat="1" ht="15.75">
      <c r="B352" s="38"/>
      <c r="C352" s="38"/>
    </row>
    <row r="353" spans="2:3" s="8" customFormat="1" ht="15.75">
      <c r="B353" s="38"/>
      <c r="C353" s="38"/>
    </row>
    <row r="354" spans="2:3" s="8" customFormat="1" ht="15.75">
      <c r="B354" s="38"/>
      <c r="C354" s="38"/>
    </row>
    <row r="355" spans="2:3" s="8" customFormat="1" ht="15.75">
      <c r="B355" s="38"/>
      <c r="C355" s="38"/>
    </row>
    <row r="356" spans="2:3" s="8" customFormat="1" ht="15.75">
      <c r="B356" s="38"/>
      <c r="C356" s="38"/>
    </row>
    <row r="357" spans="2:3" s="8" customFormat="1" ht="15.75">
      <c r="B357" s="38"/>
      <c r="C357" s="38"/>
    </row>
    <row r="358" spans="2:3" s="8" customFormat="1" ht="15.75">
      <c r="B358" s="38"/>
      <c r="C358" s="38"/>
    </row>
    <row r="359" spans="2:3" s="8" customFormat="1" ht="15.75">
      <c r="B359" s="38"/>
      <c r="C359" s="38"/>
    </row>
    <row r="360" spans="2:3" s="8" customFormat="1" ht="15.75">
      <c r="B360" s="38"/>
      <c r="C360" s="38"/>
    </row>
    <row r="361" spans="2:3" s="8" customFormat="1" ht="15.75">
      <c r="B361" s="38"/>
      <c r="C361" s="38"/>
    </row>
    <row r="362" spans="2:3" s="8" customFormat="1" ht="15.75">
      <c r="B362" s="38"/>
      <c r="C362" s="38"/>
    </row>
    <row r="363" spans="2:3" s="8" customFormat="1" ht="15.75">
      <c r="B363" s="38"/>
      <c r="C363" s="38"/>
    </row>
    <row r="364" spans="2:3" s="8" customFormat="1" ht="15.75">
      <c r="B364" s="38"/>
      <c r="C364" s="38"/>
    </row>
    <row r="365" spans="2:3" s="8" customFormat="1" ht="15.75">
      <c r="B365" s="38"/>
      <c r="C365" s="38"/>
    </row>
    <row r="366" spans="2:3" s="8" customFormat="1" ht="15.75">
      <c r="B366" s="38"/>
      <c r="C366" s="38"/>
    </row>
    <row r="367" spans="2:3" s="8" customFormat="1" ht="15.75">
      <c r="B367" s="38"/>
      <c r="C367" s="38"/>
    </row>
    <row r="368" spans="2:3" s="8" customFormat="1" ht="15.75">
      <c r="B368" s="38"/>
      <c r="C368" s="38"/>
    </row>
    <row r="369" spans="2:3" s="8" customFormat="1" ht="15.75">
      <c r="B369" s="38"/>
      <c r="C369" s="38"/>
    </row>
    <row r="370" spans="2:3" s="8" customFormat="1" ht="15.75">
      <c r="B370" s="38"/>
      <c r="C370" s="38"/>
    </row>
    <row r="371" spans="2:3" s="8" customFormat="1" ht="15.75">
      <c r="B371" s="38"/>
      <c r="C371" s="38"/>
    </row>
    <row r="372" spans="2:3" s="8" customFormat="1" ht="15.75">
      <c r="B372" s="38"/>
      <c r="C372" s="38"/>
    </row>
  </sheetData>
  <sheetProtection formatCells="0" formatColumns="0"/>
  <mergeCells count="2">
    <mergeCell ref="A3:B3"/>
    <mergeCell ref="A1:E1"/>
  </mergeCells>
  <phoneticPr fontId="0" type="noConversion"/>
  <printOptions horizontalCentered="1"/>
  <pageMargins left="0.19685039370078741" right="0.11811023622047245" top="0.74803149606299213" bottom="0.15748031496062992" header="0.51181102362204722" footer="0.51181102362204722"/>
  <pageSetup paperSize="9" scale="92" orientation="portrait" horizontalDpi="4294967295" verticalDpi="4294967295"/>
  <headerFooter alignWithMargins="0">
    <oddHeader>&amp;A</oddHeader>
    <oddFooter>&amp;Limprimé le &amp;D</oddFooter>
  </headerFooter>
  <rowBreaks count="1" manualBreakCount="1">
    <brk id="39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3" enableFormatConditionsCalculation="0">
    <tabColor indexed="50"/>
  </sheetPr>
  <dimension ref="A1:L54"/>
  <sheetViews>
    <sheetView showGridLines="0" zoomScale="75" zoomScaleNormal="75" workbookViewId="0">
      <selection activeCell="B9" sqref="B9"/>
    </sheetView>
  </sheetViews>
  <sheetFormatPr baseColWidth="10" defaultRowHeight="15"/>
  <cols>
    <col min="1" max="1" width="32.28515625" style="284" customWidth="1"/>
    <col min="2" max="2" width="6.85546875" style="447" bestFit="1" customWidth="1"/>
    <col min="3" max="3" width="12.42578125" style="368" customWidth="1"/>
    <col min="4" max="4" width="12.28515625" style="368" bestFit="1" customWidth="1"/>
    <col min="5" max="5" width="8.7109375" style="368" customWidth="1"/>
    <col min="6" max="6" width="12.7109375" style="368" customWidth="1"/>
    <col min="7" max="7" width="11.7109375" style="9" customWidth="1"/>
    <col min="8" max="16384" width="11.42578125" style="9"/>
  </cols>
  <sheetData>
    <row r="1" spans="1:12" ht="24.75" customHeight="1">
      <c r="A1" s="807" t="s">
        <v>477</v>
      </c>
      <c r="B1" s="808"/>
      <c r="C1" s="808"/>
      <c r="D1" s="808"/>
      <c r="E1" s="808"/>
      <c r="F1" s="808"/>
      <c r="G1" s="808"/>
      <c r="H1" s="51"/>
    </row>
    <row r="2" spans="1:12" ht="24.75" customHeight="1">
      <c r="A2" s="298" t="str">
        <f>'1.0 Plan de financement'!A3:C3</f>
        <v>NOM DOSSIER</v>
      </c>
      <c r="B2" s="445"/>
      <c r="C2" s="157"/>
      <c r="D2" s="157"/>
      <c r="E2" s="157"/>
      <c r="F2" s="157"/>
      <c r="G2" s="51"/>
      <c r="H2" s="51"/>
    </row>
    <row r="3" spans="1:12" ht="24.75" customHeight="1">
      <c r="A3" s="55"/>
      <c r="B3" s="51"/>
      <c r="C3" s="157"/>
      <c r="D3" s="157"/>
      <c r="E3" s="157"/>
      <c r="F3" s="157"/>
      <c r="G3" s="51"/>
      <c r="H3" s="51"/>
    </row>
    <row r="4" spans="1:12" ht="24.75" customHeight="1">
      <c r="A4" s="55"/>
      <c r="B4" s="51"/>
      <c r="C4" s="809" t="s">
        <v>478</v>
      </c>
      <c r="D4" s="810"/>
      <c r="E4" s="378" t="s">
        <v>0</v>
      </c>
      <c r="F4" s="811" t="s">
        <v>479</v>
      </c>
      <c r="G4" s="812"/>
      <c r="H4" s="51"/>
    </row>
    <row r="5" spans="1:12" ht="24.75" customHeight="1">
      <c r="A5" s="491" t="s">
        <v>20</v>
      </c>
      <c r="B5" s="492" t="s">
        <v>406</v>
      </c>
      <c r="C5" s="379" t="s">
        <v>461</v>
      </c>
      <c r="D5" s="379" t="s">
        <v>462</v>
      </c>
      <c r="E5" s="380" t="s">
        <v>191</v>
      </c>
      <c r="F5" s="379" t="s">
        <v>461</v>
      </c>
      <c r="G5" s="379" t="s">
        <v>462</v>
      </c>
      <c r="H5" s="51"/>
    </row>
    <row r="6" spans="1:12" ht="24.75" customHeight="1">
      <c r="A6" s="555"/>
      <c r="B6" s="556">
        <v>0.2</v>
      </c>
      <c r="C6" s="557"/>
      <c r="D6" s="557"/>
      <c r="E6" s="448">
        <f t="shared" ref="E6:E22" si="0">(C6+D6)*B6</f>
        <v>0</v>
      </c>
      <c r="F6" s="557"/>
      <c r="G6" s="557"/>
      <c r="H6" s="610"/>
      <c r="I6" s="613"/>
    </row>
    <row r="7" spans="1:12" ht="24.75" customHeight="1">
      <c r="A7" s="555"/>
      <c r="B7" s="556">
        <v>0.2</v>
      </c>
      <c r="C7" s="557"/>
      <c r="D7" s="557"/>
      <c r="E7" s="448">
        <f t="shared" si="0"/>
        <v>0</v>
      </c>
      <c r="F7" s="557"/>
      <c r="G7" s="557"/>
      <c r="H7" s="610"/>
      <c r="I7" s="613"/>
    </row>
    <row r="8" spans="1:12" ht="24.75" customHeight="1">
      <c r="A8" s="555"/>
      <c r="B8" s="556">
        <v>0.2</v>
      </c>
      <c r="C8" s="557"/>
      <c r="D8" s="557"/>
      <c r="E8" s="448">
        <f t="shared" si="0"/>
        <v>0</v>
      </c>
      <c r="F8" s="557"/>
      <c r="G8" s="557"/>
      <c r="H8" s="610"/>
      <c r="I8" s="613"/>
    </row>
    <row r="9" spans="1:12" ht="24.75" customHeight="1">
      <c r="A9" s="555"/>
      <c r="B9" s="556">
        <v>0</v>
      </c>
      <c r="C9" s="557"/>
      <c r="D9" s="557"/>
      <c r="E9" s="448">
        <f t="shared" si="0"/>
        <v>0</v>
      </c>
      <c r="F9" s="557"/>
      <c r="G9" s="557"/>
      <c r="H9" s="610"/>
      <c r="I9" s="613"/>
    </row>
    <row r="10" spans="1:12" ht="24.75" customHeight="1">
      <c r="A10" s="555"/>
      <c r="B10" s="556">
        <v>0</v>
      </c>
      <c r="C10" s="557"/>
      <c r="D10" s="557"/>
      <c r="E10" s="448">
        <f t="shared" si="0"/>
        <v>0</v>
      </c>
      <c r="F10" s="557"/>
      <c r="G10" s="557"/>
      <c r="H10" s="610"/>
      <c r="I10" s="613"/>
    </row>
    <row r="11" spans="1:12" ht="24.75" customHeight="1">
      <c r="A11" s="555"/>
      <c r="B11" s="556">
        <v>0</v>
      </c>
      <c r="C11" s="557"/>
      <c r="D11" s="557"/>
      <c r="E11" s="448">
        <f t="shared" si="0"/>
        <v>0</v>
      </c>
      <c r="F11" s="557"/>
      <c r="G11" s="557"/>
      <c r="H11" s="610"/>
      <c r="I11" s="613"/>
    </row>
    <row r="12" spans="1:12" ht="24.75" customHeight="1">
      <c r="A12" s="555"/>
      <c r="B12" s="556">
        <v>0</v>
      </c>
      <c r="C12" s="557"/>
      <c r="D12" s="557"/>
      <c r="E12" s="448">
        <f t="shared" si="0"/>
        <v>0</v>
      </c>
      <c r="F12" s="557"/>
      <c r="G12" s="557"/>
      <c r="H12" s="610"/>
      <c r="I12" s="613"/>
    </row>
    <row r="13" spans="1:12" ht="24.75" customHeight="1">
      <c r="A13" s="555"/>
      <c r="B13" s="556">
        <v>0</v>
      </c>
      <c r="C13" s="557"/>
      <c r="D13" s="557"/>
      <c r="E13" s="448">
        <f t="shared" si="0"/>
        <v>0</v>
      </c>
      <c r="F13" s="557"/>
      <c r="G13" s="557"/>
      <c r="H13" s="610"/>
      <c r="I13" s="613"/>
    </row>
    <row r="14" spans="1:12" ht="24.75" customHeight="1">
      <c r="A14" s="555"/>
      <c r="B14" s="556">
        <v>0</v>
      </c>
      <c r="C14" s="557"/>
      <c r="D14" s="557"/>
      <c r="E14" s="448">
        <f t="shared" si="0"/>
        <v>0</v>
      </c>
      <c r="F14" s="557"/>
      <c r="G14" s="557"/>
      <c r="H14" s="610"/>
      <c r="I14" s="613"/>
    </row>
    <row r="15" spans="1:12" ht="24.75" customHeight="1">
      <c r="A15" s="555"/>
      <c r="B15" s="556">
        <v>0</v>
      </c>
      <c r="C15" s="557"/>
      <c r="D15" s="557"/>
      <c r="E15" s="448">
        <f t="shared" si="0"/>
        <v>0</v>
      </c>
      <c r="F15" s="557"/>
      <c r="G15" s="557"/>
      <c r="H15" s="610"/>
      <c r="I15" s="613"/>
    </row>
    <row r="16" spans="1:12" ht="24.75" customHeight="1">
      <c r="A16" s="555"/>
      <c r="B16" s="556">
        <v>0</v>
      </c>
      <c r="C16" s="557"/>
      <c r="D16" s="557"/>
      <c r="E16" s="448">
        <f t="shared" si="0"/>
        <v>0</v>
      </c>
      <c r="F16" s="557"/>
      <c r="G16" s="557"/>
      <c r="H16" s="610"/>
      <c r="I16" s="613"/>
      <c r="L16" s="51"/>
    </row>
    <row r="17" spans="1:9" ht="24.75" customHeight="1">
      <c r="A17" s="555"/>
      <c r="B17" s="556">
        <v>0</v>
      </c>
      <c r="C17" s="557"/>
      <c r="D17" s="557"/>
      <c r="E17" s="448">
        <f t="shared" si="0"/>
        <v>0</v>
      </c>
      <c r="F17" s="557"/>
      <c r="G17" s="557"/>
      <c r="H17" s="610"/>
      <c r="I17" s="613"/>
    </row>
    <row r="18" spans="1:9" ht="24.75" customHeight="1">
      <c r="A18" s="555"/>
      <c r="B18" s="556">
        <v>0</v>
      </c>
      <c r="C18" s="557"/>
      <c r="D18" s="557"/>
      <c r="E18" s="448">
        <f t="shared" si="0"/>
        <v>0</v>
      </c>
      <c r="F18" s="557"/>
      <c r="G18" s="557"/>
      <c r="H18" s="610"/>
      <c r="I18" s="613"/>
    </row>
    <row r="19" spans="1:9" ht="24.75" customHeight="1">
      <c r="A19" s="555"/>
      <c r="B19" s="556">
        <v>0</v>
      </c>
      <c r="C19" s="557"/>
      <c r="D19" s="557"/>
      <c r="E19" s="448">
        <f t="shared" si="0"/>
        <v>0</v>
      </c>
      <c r="F19" s="557"/>
      <c r="G19" s="557"/>
      <c r="H19" s="610"/>
      <c r="I19" s="613"/>
    </row>
    <row r="20" spans="1:9" ht="24.75" customHeight="1">
      <c r="A20" s="555"/>
      <c r="B20" s="556">
        <v>0</v>
      </c>
      <c r="C20" s="557"/>
      <c r="D20" s="557"/>
      <c r="E20" s="448">
        <f t="shared" si="0"/>
        <v>0</v>
      </c>
      <c r="F20" s="557"/>
      <c r="G20" s="557"/>
      <c r="H20" s="610"/>
      <c r="I20" s="613"/>
    </row>
    <row r="21" spans="1:9" ht="24.75" customHeight="1">
      <c r="A21" s="555"/>
      <c r="B21" s="556">
        <v>0</v>
      </c>
      <c r="C21" s="557"/>
      <c r="D21" s="557"/>
      <c r="E21" s="448">
        <f t="shared" si="0"/>
        <v>0</v>
      </c>
      <c r="F21" s="557"/>
      <c r="G21" s="557"/>
      <c r="H21" s="610"/>
      <c r="I21" s="613"/>
    </row>
    <row r="22" spans="1:9" ht="24.75" customHeight="1">
      <c r="A22" s="555"/>
      <c r="B22" s="556">
        <v>0</v>
      </c>
      <c r="C22" s="557"/>
      <c r="D22" s="557"/>
      <c r="E22" s="448">
        <f t="shared" si="0"/>
        <v>0</v>
      </c>
      <c r="F22" s="557"/>
      <c r="G22" s="557"/>
      <c r="H22" s="610"/>
      <c r="I22" s="613"/>
    </row>
    <row r="23" spans="1:9" ht="24.75" customHeight="1">
      <c r="A23" s="244" t="s">
        <v>22</v>
      </c>
      <c r="B23" s="446"/>
      <c r="C23" s="367">
        <f>SUM(C5:C22)</f>
        <v>0</v>
      </c>
      <c r="D23" s="367">
        <f>SUM(D6:D22)</f>
        <v>0</v>
      </c>
      <c r="E23" s="367">
        <f>SUM(E5:E22)</f>
        <v>0</v>
      </c>
      <c r="F23" s="367">
        <f>SUM(F5:F22)</f>
        <v>0</v>
      </c>
      <c r="G23" s="367">
        <f>SUM(G5:G22)</f>
        <v>0</v>
      </c>
      <c r="H23" s="51"/>
    </row>
    <row r="24" spans="1:9" ht="24.75" customHeight="1">
      <c r="A24" s="55"/>
      <c r="B24" s="51"/>
      <c r="C24" s="157"/>
      <c r="D24" s="157"/>
      <c r="E24" s="157"/>
      <c r="F24" s="157"/>
      <c r="G24" s="51"/>
      <c r="H24" s="51"/>
    </row>
    <row r="25" spans="1:9" ht="24.75" customHeight="1">
      <c r="A25" s="55"/>
      <c r="B25" s="51"/>
      <c r="C25" s="157"/>
      <c r="D25" s="157"/>
      <c r="E25" s="157"/>
      <c r="F25" s="157"/>
      <c r="G25" s="51"/>
      <c r="H25" s="51"/>
    </row>
    <row r="26" spans="1:9" ht="24.75" customHeight="1">
      <c r="A26" s="55"/>
      <c r="B26" s="51"/>
      <c r="C26" s="157"/>
      <c r="D26" s="157"/>
      <c r="E26" s="157"/>
      <c r="F26" s="157"/>
      <c r="G26" s="51"/>
      <c r="H26" s="51"/>
    </row>
    <row r="27" spans="1:9" ht="24.75" customHeight="1">
      <c r="A27" s="55"/>
      <c r="B27" s="51"/>
      <c r="C27" s="157"/>
      <c r="D27" s="157"/>
      <c r="E27" s="157"/>
      <c r="F27" s="157"/>
      <c r="G27" s="51"/>
      <c r="H27" s="51"/>
    </row>
    <row r="28" spans="1:9" ht="24.75" customHeight="1">
      <c r="A28" s="55"/>
      <c r="B28" s="51"/>
      <c r="C28" s="157"/>
      <c r="D28" s="157"/>
      <c r="E28" s="157"/>
      <c r="F28" s="157"/>
      <c r="G28" s="51"/>
      <c r="H28" s="51"/>
    </row>
    <row r="29" spans="1:9" ht="24.75" customHeight="1">
      <c r="A29" s="55"/>
      <c r="B29" s="51"/>
      <c r="C29" s="157"/>
      <c r="D29" s="157"/>
      <c r="E29" s="157"/>
      <c r="F29" s="157"/>
      <c r="G29" s="51"/>
      <c r="H29" s="51"/>
    </row>
    <row r="30" spans="1:9" ht="24.75" customHeight="1">
      <c r="A30" s="55"/>
      <c r="B30" s="51"/>
      <c r="C30" s="157"/>
      <c r="D30" s="157"/>
      <c r="E30" s="157"/>
      <c r="F30" s="157"/>
      <c r="G30" s="51"/>
      <c r="H30" s="51"/>
    </row>
    <row r="31" spans="1:9" ht="24.75" customHeight="1">
      <c r="A31" s="55"/>
      <c r="B31" s="51"/>
      <c r="C31" s="157"/>
      <c r="D31" s="157"/>
      <c r="E31" s="157"/>
      <c r="F31" s="157"/>
      <c r="G31" s="51"/>
      <c r="H31" s="51"/>
    </row>
    <row r="32" spans="1:9" ht="24.75" customHeight="1">
      <c r="A32" s="55"/>
      <c r="B32" s="51"/>
      <c r="C32" s="157"/>
      <c r="D32" s="157"/>
      <c r="E32" s="157"/>
      <c r="F32" s="157"/>
      <c r="G32" s="51"/>
      <c r="H32" s="51"/>
    </row>
    <row r="33" spans="1:8" ht="24.75" customHeight="1">
      <c r="A33" s="55"/>
      <c r="B33" s="51"/>
      <c r="C33" s="157"/>
      <c r="D33" s="157"/>
      <c r="E33" s="157"/>
      <c r="F33" s="157"/>
      <c r="G33" s="51"/>
      <c r="H33" s="51"/>
    </row>
    <row r="34" spans="1:8" ht="24.75" customHeight="1">
      <c r="A34" s="55"/>
      <c r="B34" s="51"/>
      <c r="C34" s="157"/>
      <c r="D34" s="157"/>
      <c r="E34" s="157"/>
      <c r="F34" s="157"/>
      <c r="G34" s="51"/>
      <c r="H34" s="51"/>
    </row>
    <row r="35" spans="1:8" ht="24.75" customHeight="1">
      <c r="A35" s="55"/>
      <c r="B35" s="51"/>
      <c r="C35" s="157"/>
      <c r="D35" s="157"/>
      <c r="E35" s="157"/>
      <c r="F35" s="157"/>
      <c r="G35" s="51"/>
      <c r="H35" s="51"/>
    </row>
    <row r="36" spans="1:8" ht="24.75" customHeight="1">
      <c r="A36" s="55"/>
      <c r="B36" s="51"/>
      <c r="C36" s="157"/>
      <c r="D36" s="157"/>
      <c r="E36" s="157"/>
      <c r="F36" s="157"/>
      <c r="G36" s="51"/>
      <c r="H36" s="51"/>
    </row>
    <row r="37" spans="1:8" ht="24.75" customHeight="1">
      <c r="A37" s="55"/>
      <c r="B37" s="51"/>
      <c r="C37" s="157"/>
      <c r="D37" s="157"/>
      <c r="E37" s="157"/>
      <c r="F37" s="157"/>
      <c r="G37" s="51"/>
      <c r="H37" s="51"/>
    </row>
    <row r="38" spans="1:8" ht="24.75" customHeight="1">
      <c r="A38" s="55"/>
      <c r="B38" s="51"/>
      <c r="C38" s="157"/>
      <c r="D38" s="157"/>
      <c r="E38" s="157"/>
      <c r="F38" s="157"/>
      <c r="G38" s="51"/>
      <c r="H38" s="51"/>
    </row>
    <row r="39" spans="1:8" ht="24.75" customHeight="1">
      <c r="A39" s="55"/>
      <c r="B39" s="51"/>
      <c r="C39" s="157"/>
      <c r="D39" s="157"/>
      <c r="E39" s="157"/>
      <c r="F39" s="157"/>
      <c r="G39" s="51"/>
      <c r="H39" s="51"/>
    </row>
    <row r="40" spans="1:8" ht="24.75" customHeight="1">
      <c r="A40" s="55"/>
      <c r="B40" s="51"/>
      <c r="C40" s="157"/>
      <c r="D40" s="157"/>
      <c r="E40" s="157"/>
      <c r="F40" s="157"/>
      <c r="G40" s="51"/>
      <c r="H40" s="51"/>
    </row>
    <row r="41" spans="1:8" ht="24.75" customHeight="1">
      <c r="A41" s="55"/>
      <c r="B41" s="51"/>
      <c r="C41" s="157"/>
      <c r="D41" s="157"/>
      <c r="E41" s="157"/>
      <c r="F41" s="157"/>
      <c r="G41" s="51"/>
      <c r="H41" s="51"/>
    </row>
    <row r="42" spans="1:8" ht="24.75" customHeight="1">
      <c r="A42" s="55"/>
      <c r="B42" s="51"/>
      <c r="C42" s="157"/>
      <c r="D42" s="157"/>
      <c r="E42" s="157"/>
      <c r="F42" s="157"/>
      <c r="G42" s="51"/>
      <c r="H42" s="51"/>
    </row>
    <row r="43" spans="1:8" ht="24.75" customHeight="1">
      <c r="A43" s="55"/>
      <c r="B43" s="51"/>
      <c r="C43" s="157"/>
      <c r="D43" s="157"/>
      <c r="E43" s="157"/>
      <c r="F43" s="157"/>
      <c r="G43" s="51"/>
      <c r="H43" s="51"/>
    </row>
    <row r="44" spans="1:8" ht="24.75" customHeight="1">
      <c r="A44" s="55"/>
      <c r="B44" s="51"/>
      <c r="C44" s="157"/>
      <c r="D44" s="157"/>
      <c r="E44" s="157"/>
      <c r="F44" s="157"/>
      <c r="G44" s="51"/>
      <c r="H44" s="51"/>
    </row>
    <row r="45" spans="1:8" ht="24.75" customHeight="1">
      <c r="A45" s="55"/>
      <c r="B45" s="51"/>
      <c r="C45" s="157"/>
      <c r="D45" s="157"/>
      <c r="E45" s="157"/>
      <c r="F45" s="157"/>
      <c r="G45" s="51"/>
      <c r="H45" s="51"/>
    </row>
    <row r="46" spans="1:8" ht="24.75" customHeight="1">
      <c r="A46" s="55"/>
      <c r="B46" s="51"/>
      <c r="C46" s="157"/>
      <c r="D46" s="157"/>
      <c r="E46" s="157"/>
      <c r="F46" s="157"/>
      <c r="G46" s="51"/>
      <c r="H46" s="51"/>
    </row>
    <row r="47" spans="1:8" ht="24.75" customHeight="1">
      <c r="A47" s="55"/>
      <c r="B47" s="51"/>
      <c r="C47" s="157"/>
      <c r="D47" s="157"/>
      <c r="E47" s="157"/>
      <c r="F47" s="157"/>
      <c r="G47" s="51"/>
      <c r="H47" s="51"/>
    </row>
    <row r="48" spans="1:8" ht="24.75" customHeight="1">
      <c r="A48" s="55"/>
      <c r="B48" s="51"/>
      <c r="C48" s="157"/>
      <c r="D48" s="157"/>
      <c r="E48" s="157"/>
      <c r="F48" s="157"/>
      <c r="G48" s="51"/>
      <c r="H48" s="51"/>
    </row>
    <row r="49" spans="1:8" ht="24.75" customHeight="1">
      <c r="A49" s="55"/>
      <c r="B49" s="51"/>
      <c r="C49" s="157"/>
      <c r="D49" s="157"/>
      <c r="E49" s="157"/>
      <c r="F49" s="157"/>
      <c r="G49" s="51"/>
      <c r="H49" s="51"/>
    </row>
    <row r="50" spans="1:8" ht="19.5">
      <c r="A50" s="55"/>
      <c r="B50" s="51"/>
      <c r="C50" s="157"/>
      <c r="D50" s="157"/>
      <c r="E50" s="157"/>
      <c r="F50" s="157"/>
      <c r="G50" s="51"/>
      <c r="H50" s="51"/>
    </row>
    <row r="51" spans="1:8" ht="19.5">
      <c r="A51" s="55"/>
      <c r="B51" s="51"/>
      <c r="C51" s="157"/>
      <c r="D51" s="157"/>
      <c r="E51" s="157"/>
      <c r="F51" s="157"/>
      <c r="G51" s="51"/>
      <c r="H51" s="51"/>
    </row>
    <row r="52" spans="1:8" ht="19.5">
      <c r="A52" s="55"/>
      <c r="B52" s="51"/>
      <c r="C52" s="157"/>
      <c r="D52" s="157"/>
      <c r="E52" s="157"/>
      <c r="F52" s="157"/>
      <c r="G52" s="51"/>
      <c r="H52" s="51"/>
    </row>
    <row r="53" spans="1:8" ht="19.5">
      <c r="A53" s="55"/>
      <c r="B53" s="51"/>
      <c r="C53" s="157"/>
      <c r="D53" s="157"/>
      <c r="E53" s="157"/>
      <c r="F53" s="157"/>
      <c r="G53" s="51"/>
      <c r="H53" s="51"/>
    </row>
    <row r="54" spans="1:8" ht="19.5">
      <c r="A54" s="55"/>
      <c r="B54" s="51"/>
      <c r="C54" s="157"/>
      <c r="D54" s="157"/>
      <c r="E54" s="157"/>
      <c r="F54" s="157"/>
      <c r="G54" s="51"/>
      <c r="H54" s="51"/>
    </row>
  </sheetData>
  <sheetProtection password="EFA0" sheet="1" objects="1" scenarios="1" formatCells="0" formatColumns="0"/>
  <mergeCells count="3">
    <mergeCell ref="A1:G1"/>
    <mergeCell ref="C4:D4"/>
    <mergeCell ref="F4:G4"/>
  </mergeCells>
  <phoneticPr fontId="0" type="noConversion"/>
  <pageMargins left="0.39370078740157483" right="0.19685039370078741" top="0.98425196850393704" bottom="0.98425196850393704" header="0.51181102362204722" footer="0.51181102362204722"/>
  <pageSetup paperSize="9" scale="94" orientation="portrait" horizontalDpi="4294967295" verticalDpi="4294967295"/>
  <headerFooter alignWithMargins="0">
    <oddHeader>&amp;A</oddHeader>
    <oddFooter>&amp;Limprimé le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4" enableFormatConditionsCalculation="0">
    <tabColor indexed="50"/>
  </sheetPr>
  <dimension ref="A1:H340"/>
  <sheetViews>
    <sheetView showGridLines="0" topLeftCell="A18" zoomScaleNormal="100" workbookViewId="0">
      <selection activeCell="G6" sqref="G6:G11"/>
    </sheetView>
  </sheetViews>
  <sheetFormatPr baseColWidth="10" defaultRowHeight="15.75"/>
  <cols>
    <col min="1" max="1" width="42.28515625" style="8" customWidth="1"/>
    <col min="2" max="2" width="12.42578125" style="39" customWidth="1"/>
    <col min="3" max="3" width="9.85546875" style="6" bestFit="1" customWidth="1"/>
    <col min="4" max="4" width="11.42578125" style="6"/>
    <col min="5" max="6" width="11.42578125" style="609"/>
    <col min="7" max="16384" width="11.42578125" style="6"/>
  </cols>
  <sheetData>
    <row r="1" spans="1:8" ht="23.25" thickBot="1">
      <c r="A1" s="816" t="s">
        <v>21</v>
      </c>
      <c r="B1" s="817"/>
      <c r="C1" s="817"/>
      <c r="D1" s="818"/>
    </row>
    <row r="2" spans="1:8" ht="19.5">
      <c r="A2" s="825" t="str">
        <f>'1.0 Plan de financement'!A3:C3</f>
        <v>NOM DOSSIER</v>
      </c>
      <c r="B2" s="825"/>
      <c r="C2" s="825"/>
      <c r="D2" s="825"/>
    </row>
    <row r="3" spans="1:8" ht="22.5" customHeight="1">
      <c r="A3" s="299" t="s">
        <v>416</v>
      </c>
      <c r="B3" s="287"/>
      <c r="C3" s="52"/>
      <c r="D3" s="51"/>
    </row>
    <row r="4" spans="1:8" ht="22.5" customHeight="1">
      <c r="A4" s="55"/>
      <c r="B4" s="821" t="s">
        <v>141</v>
      </c>
      <c r="C4" s="823" t="s">
        <v>463</v>
      </c>
      <c r="D4" s="819" t="s">
        <v>345</v>
      </c>
      <c r="G4" s="609"/>
      <c r="H4" s="609"/>
    </row>
    <row r="5" spans="1:8" ht="22.5" customHeight="1">
      <c r="A5" s="55"/>
      <c r="B5" s="822"/>
      <c r="C5" s="824"/>
      <c r="D5" s="820"/>
      <c r="G5" s="609"/>
      <c r="H5" s="609"/>
    </row>
    <row r="6" spans="1:8" ht="20.25" customHeight="1">
      <c r="A6" s="514" t="s">
        <v>417</v>
      </c>
      <c r="B6" s="501"/>
      <c r="C6" s="501">
        <v>1</v>
      </c>
      <c r="D6" s="463">
        <f>B6*C6</f>
        <v>0</v>
      </c>
      <c r="G6" s="610"/>
      <c r="H6" s="609"/>
    </row>
    <row r="7" spans="1:8" s="8" customFormat="1" ht="22.5" customHeight="1">
      <c r="A7" s="515" t="s">
        <v>418</v>
      </c>
      <c r="B7" s="502"/>
      <c r="C7" s="503">
        <v>1</v>
      </c>
      <c r="D7" s="464">
        <f t="shared" ref="D7:D31" si="0">B7*C7</f>
        <v>0</v>
      </c>
      <c r="E7" s="523"/>
      <c r="F7" s="523"/>
      <c r="G7" s="523"/>
      <c r="H7" s="523"/>
    </row>
    <row r="8" spans="1:8" s="8" customFormat="1" ht="22.5" customHeight="1">
      <c r="A8" s="515" t="s">
        <v>419</v>
      </c>
      <c r="B8" s="502"/>
      <c r="C8" s="504">
        <v>1</v>
      </c>
      <c r="D8" s="464">
        <f t="shared" si="0"/>
        <v>0</v>
      </c>
      <c r="E8" s="523"/>
      <c r="F8" s="523"/>
      <c r="G8" s="523"/>
      <c r="H8" s="523"/>
    </row>
    <row r="9" spans="1:8" s="8" customFormat="1" ht="22.5" customHeight="1">
      <c r="A9" s="515" t="s">
        <v>420</v>
      </c>
      <c r="B9" s="502"/>
      <c r="C9" s="504">
        <v>1</v>
      </c>
      <c r="D9" s="464">
        <f t="shared" si="0"/>
        <v>0</v>
      </c>
      <c r="E9" s="523"/>
      <c r="F9" s="523"/>
      <c r="G9" s="523"/>
      <c r="H9" s="523"/>
    </row>
    <row r="10" spans="1:8" s="8" customFormat="1" ht="22.5" customHeight="1">
      <c r="A10" s="516" t="s">
        <v>476</v>
      </c>
      <c r="B10" s="505"/>
      <c r="C10" s="506">
        <v>1</v>
      </c>
      <c r="D10" s="464">
        <f t="shared" si="0"/>
        <v>0</v>
      </c>
      <c r="E10" s="523"/>
      <c r="F10" s="523"/>
      <c r="G10" s="523"/>
      <c r="H10" s="523"/>
    </row>
    <row r="11" spans="1:8" s="8" customFormat="1" ht="22.5" customHeight="1">
      <c r="A11" s="813" t="s">
        <v>490</v>
      </c>
      <c r="B11" s="814"/>
      <c r="C11" s="815"/>
      <c r="D11" s="493"/>
      <c r="E11" s="523"/>
      <c r="F11" s="523"/>
      <c r="G11" s="523"/>
      <c r="H11" s="523"/>
    </row>
    <row r="12" spans="1:8" s="8" customFormat="1" ht="22.5" customHeight="1">
      <c r="A12" s="514" t="s">
        <v>482</v>
      </c>
      <c r="B12" s="501"/>
      <c r="C12" s="507">
        <v>1</v>
      </c>
      <c r="D12" s="493">
        <f t="shared" si="0"/>
        <v>0</v>
      </c>
      <c r="E12" s="523"/>
      <c r="F12" s="523"/>
      <c r="G12" s="523"/>
      <c r="H12" s="523"/>
    </row>
    <row r="13" spans="1:8" s="8" customFormat="1" ht="22.5" customHeight="1">
      <c r="A13" s="515" t="s">
        <v>483</v>
      </c>
      <c r="B13" s="502"/>
      <c r="C13" s="508">
        <v>1</v>
      </c>
      <c r="D13" s="497">
        <f t="shared" si="0"/>
        <v>0</v>
      </c>
      <c r="E13" s="611"/>
      <c r="F13" s="523"/>
      <c r="G13" s="523"/>
      <c r="H13" s="523"/>
    </row>
    <row r="14" spans="1:8" s="8" customFormat="1" ht="22.5" customHeight="1">
      <c r="A14" s="515" t="s">
        <v>484</v>
      </c>
      <c r="B14" s="502"/>
      <c r="C14" s="508">
        <v>1</v>
      </c>
      <c r="D14" s="497">
        <f t="shared" si="0"/>
        <v>0</v>
      </c>
      <c r="E14" s="612"/>
      <c r="F14" s="523"/>
      <c r="G14" s="523"/>
      <c r="H14" s="523"/>
    </row>
    <row r="15" spans="1:8" s="8" customFormat="1" ht="22.5" customHeight="1">
      <c r="A15" s="517" t="s">
        <v>492</v>
      </c>
      <c r="B15" s="509"/>
      <c r="C15" s="510">
        <v>1</v>
      </c>
      <c r="D15" s="497">
        <f t="shared" si="0"/>
        <v>0</v>
      </c>
      <c r="E15" s="611"/>
      <c r="F15" s="523"/>
      <c r="G15" s="523"/>
      <c r="H15" s="523"/>
    </row>
    <row r="16" spans="1:8" s="8" customFormat="1" ht="22.5" customHeight="1">
      <c r="A16" s="518" t="s">
        <v>421</v>
      </c>
      <c r="B16" s="511"/>
      <c r="C16" s="512">
        <v>1</v>
      </c>
      <c r="D16" s="497">
        <f t="shared" si="0"/>
        <v>0</v>
      </c>
      <c r="E16" s="523"/>
      <c r="F16" s="523"/>
      <c r="G16" s="523"/>
      <c r="H16" s="523"/>
    </row>
    <row r="17" spans="1:8" s="8" customFormat="1" ht="22.5" customHeight="1">
      <c r="A17" s="515" t="s">
        <v>422</v>
      </c>
      <c r="B17" s="502"/>
      <c r="C17" s="512">
        <v>1</v>
      </c>
      <c r="D17" s="497">
        <f t="shared" si="0"/>
        <v>0</v>
      </c>
      <c r="E17" s="523"/>
      <c r="F17" s="523"/>
      <c r="G17" s="523"/>
      <c r="H17" s="523"/>
    </row>
    <row r="18" spans="1:8" s="8" customFormat="1" ht="22.5" customHeight="1">
      <c r="A18" s="515" t="s">
        <v>423</v>
      </c>
      <c r="B18" s="502"/>
      <c r="C18" s="512">
        <v>1</v>
      </c>
      <c r="D18" s="497">
        <f t="shared" si="0"/>
        <v>0</v>
      </c>
      <c r="E18" s="523"/>
      <c r="F18" s="523"/>
      <c r="G18" s="612"/>
      <c r="H18" s="523"/>
    </row>
    <row r="19" spans="1:8" s="8" customFormat="1" ht="22.5" customHeight="1">
      <c r="A19" s="518" t="s">
        <v>497</v>
      </c>
      <c r="B19" s="502"/>
      <c r="C19" s="512">
        <v>1</v>
      </c>
      <c r="D19" s="497">
        <f t="shared" si="0"/>
        <v>0</v>
      </c>
      <c r="E19" s="523"/>
      <c r="F19" s="523"/>
      <c r="G19" s="523"/>
      <c r="H19" s="523"/>
    </row>
    <row r="20" spans="1:8" s="8" customFormat="1" ht="22.5" customHeight="1">
      <c r="A20" s="515" t="s">
        <v>481</v>
      </c>
      <c r="B20" s="502"/>
      <c r="C20" s="512">
        <v>1</v>
      </c>
      <c r="D20" s="497">
        <f t="shared" si="0"/>
        <v>0</v>
      </c>
      <c r="E20" s="523"/>
      <c r="F20" s="523"/>
      <c r="G20" s="523"/>
      <c r="H20" s="523"/>
    </row>
    <row r="21" spans="1:8" s="8" customFormat="1" ht="22.5" customHeight="1">
      <c r="A21" s="515" t="s">
        <v>485</v>
      </c>
      <c r="B21" s="502"/>
      <c r="C21" s="512">
        <v>1</v>
      </c>
      <c r="D21" s="497">
        <f>B21*C21</f>
        <v>0</v>
      </c>
      <c r="E21" s="523"/>
      <c r="F21" s="523"/>
      <c r="G21" s="523"/>
      <c r="H21" s="523"/>
    </row>
    <row r="22" spans="1:8" s="8" customFormat="1" ht="22.5" customHeight="1">
      <c r="A22" s="516" t="s">
        <v>499</v>
      </c>
      <c r="B22" s="505"/>
      <c r="C22" s="512">
        <v>1</v>
      </c>
      <c r="D22" s="497">
        <f>B22*C22</f>
        <v>0</v>
      </c>
      <c r="E22" s="523"/>
      <c r="F22" s="523"/>
      <c r="G22" s="523"/>
      <c r="H22" s="523"/>
    </row>
    <row r="23" spans="1:8" s="8" customFormat="1" ht="22.5" customHeight="1">
      <c r="A23" s="516" t="s">
        <v>499</v>
      </c>
      <c r="B23" s="505"/>
      <c r="C23" s="512">
        <v>1</v>
      </c>
      <c r="D23" s="497">
        <f>B23*C23</f>
        <v>0</v>
      </c>
      <c r="E23" s="523"/>
      <c r="F23" s="523"/>
      <c r="G23" s="523"/>
      <c r="H23" s="523"/>
    </row>
    <row r="24" spans="1:8" s="8" customFormat="1" ht="22.5" customHeight="1">
      <c r="A24" s="516" t="s">
        <v>500</v>
      </c>
      <c r="B24" s="505"/>
      <c r="C24" s="512">
        <v>1</v>
      </c>
      <c r="D24" s="497">
        <f t="shared" si="0"/>
        <v>0</v>
      </c>
      <c r="E24" s="523"/>
      <c r="F24" s="523"/>
      <c r="G24" s="523"/>
      <c r="H24" s="523"/>
    </row>
    <row r="25" spans="1:8" s="8" customFormat="1" ht="22.5" customHeight="1">
      <c r="A25" s="813" t="s">
        <v>486</v>
      </c>
      <c r="B25" s="814"/>
      <c r="C25" s="815"/>
      <c r="D25" s="497"/>
      <c r="E25" s="523"/>
      <c r="F25" s="523"/>
      <c r="G25" s="523"/>
      <c r="H25" s="523"/>
    </row>
    <row r="26" spans="1:8" s="8" customFormat="1" ht="22.5" customHeight="1">
      <c r="A26" s="515" t="s">
        <v>487</v>
      </c>
      <c r="B26" s="502"/>
      <c r="C26" s="512">
        <v>1</v>
      </c>
      <c r="D26" s="497">
        <f t="shared" si="0"/>
        <v>0</v>
      </c>
      <c r="E26" s="523"/>
      <c r="F26" s="523"/>
      <c r="G26" s="523"/>
      <c r="H26" s="523"/>
    </row>
    <row r="27" spans="1:8" s="8" customFormat="1" ht="22.5" customHeight="1">
      <c r="A27" s="515" t="s">
        <v>488</v>
      </c>
      <c r="B27" s="502"/>
      <c r="C27" s="512">
        <v>1</v>
      </c>
      <c r="D27" s="497">
        <f t="shared" si="0"/>
        <v>0</v>
      </c>
      <c r="E27" s="523"/>
      <c r="F27" s="523"/>
      <c r="G27" s="523"/>
      <c r="H27" s="523"/>
    </row>
    <row r="28" spans="1:8" s="8" customFormat="1" ht="22.5" customHeight="1">
      <c r="A28" s="515" t="s">
        <v>489</v>
      </c>
      <c r="B28" s="502"/>
      <c r="C28" s="512">
        <v>1</v>
      </c>
      <c r="D28" s="497">
        <f t="shared" si="0"/>
        <v>0</v>
      </c>
      <c r="E28" s="523"/>
      <c r="F28" s="523"/>
      <c r="G28" s="523"/>
      <c r="H28" s="523"/>
    </row>
    <row r="29" spans="1:8" s="8" customFormat="1" ht="22.5" customHeight="1">
      <c r="A29" s="515" t="s">
        <v>491</v>
      </c>
      <c r="B29" s="502"/>
      <c r="C29" s="512">
        <v>1</v>
      </c>
      <c r="D29" s="497">
        <f t="shared" si="0"/>
        <v>0</v>
      </c>
      <c r="E29" s="523"/>
      <c r="F29" s="523"/>
      <c r="G29" s="523"/>
      <c r="H29" s="523"/>
    </row>
    <row r="30" spans="1:8" s="8" customFormat="1" ht="22.5" customHeight="1">
      <c r="A30" s="516" t="s">
        <v>499</v>
      </c>
      <c r="B30" s="505"/>
      <c r="C30" s="502">
        <v>1</v>
      </c>
      <c r="D30" s="497">
        <f t="shared" si="0"/>
        <v>0</v>
      </c>
      <c r="E30" s="523"/>
      <c r="F30" s="523"/>
      <c r="G30" s="523"/>
      <c r="H30" s="523"/>
    </row>
    <row r="31" spans="1:8" s="8" customFormat="1" ht="22.5" customHeight="1">
      <c r="A31" s="516" t="s">
        <v>493</v>
      </c>
      <c r="B31" s="505"/>
      <c r="C31" s="513">
        <v>1</v>
      </c>
      <c r="D31" s="497">
        <f t="shared" si="0"/>
        <v>0</v>
      </c>
      <c r="E31" s="523"/>
      <c r="F31" s="523"/>
      <c r="G31" s="523"/>
      <c r="H31" s="523"/>
    </row>
    <row r="32" spans="1:8" s="8" customFormat="1" ht="22.5" customHeight="1">
      <c r="A32" s="494" t="s">
        <v>22</v>
      </c>
      <c r="B32" s="495"/>
      <c r="C32" s="495"/>
      <c r="D32" s="496">
        <f>SUM(D6:D31)</f>
        <v>0</v>
      </c>
      <c r="E32" s="523"/>
      <c r="F32" s="523"/>
      <c r="G32" s="523"/>
      <c r="H32" s="523"/>
    </row>
    <row r="33" spans="1:6" s="8" customFormat="1" ht="22.5" customHeight="1">
      <c r="A33" s="55" t="s">
        <v>464</v>
      </c>
      <c r="B33" s="56"/>
      <c r="C33" s="55"/>
      <c r="D33" s="55"/>
      <c r="E33" s="523"/>
      <c r="F33" s="523"/>
    </row>
    <row r="34" spans="1:6" s="8" customFormat="1" ht="22.5" customHeight="1">
      <c r="A34" s="55"/>
      <c r="B34" s="56"/>
      <c r="C34" s="55"/>
      <c r="D34" s="55"/>
      <c r="E34" s="523"/>
      <c r="F34" s="523"/>
    </row>
    <row r="35" spans="1:6" s="8" customFormat="1" ht="22.5" customHeight="1">
      <c r="A35" s="55"/>
      <c r="B35" s="56"/>
      <c r="C35" s="55"/>
      <c r="D35" s="55"/>
      <c r="E35" s="523"/>
      <c r="F35" s="523"/>
    </row>
    <row r="36" spans="1:6" s="8" customFormat="1" ht="22.5" customHeight="1">
      <c r="A36" s="55"/>
      <c r="B36" s="39"/>
      <c r="E36" s="523"/>
      <c r="F36" s="523"/>
    </row>
    <row r="37" spans="1:6" s="8" customFormat="1" ht="22.5" customHeight="1">
      <c r="B37" s="39"/>
      <c r="E37" s="523"/>
      <c r="F37" s="523"/>
    </row>
    <row r="38" spans="1:6" s="8" customFormat="1" ht="22.5" customHeight="1">
      <c r="B38" s="39"/>
      <c r="E38" s="523"/>
      <c r="F38" s="523"/>
    </row>
    <row r="39" spans="1:6" s="8" customFormat="1" ht="22.5" customHeight="1">
      <c r="B39" s="39"/>
      <c r="E39" s="523"/>
      <c r="F39" s="523"/>
    </row>
    <row r="40" spans="1:6" s="8" customFormat="1" ht="22.5" customHeight="1">
      <c r="B40" s="39"/>
      <c r="E40" s="523"/>
      <c r="F40" s="523"/>
    </row>
    <row r="41" spans="1:6" s="8" customFormat="1" ht="22.5" customHeight="1">
      <c r="B41" s="39"/>
      <c r="E41" s="523"/>
      <c r="F41" s="523"/>
    </row>
    <row r="42" spans="1:6" s="8" customFormat="1" ht="22.5" customHeight="1">
      <c r="B42" s="39"/>
      <c r="E42" s="523"/>
      <c r="F42" s="523"/>
    </row>
    <row r="43" spans="1:6" s="8" customFormat="1" ht="22.5" customHeight="1">
      <c r="B43" s="39"/>
      <c r="E43" s="523"/>
      <c r="F43" s="523"/>
    </row>
    <row r="44" spans="1:6" s="8" customFormat="1" ht="22.5" customHeight="1">
      <c r="B44" s="39"/>
      <c r="E44" s="523"/>
      <c r="F44" s="523"/>
    </row>
    <row r="45" spans="1:6" s="8" customFormat="1" ht="22.5" customHeight="1">
      <c r="B45" s="39"/>
      <c r="E45" s="523"/>
      <c r="F45" s="523"/>
    </row>
    <row r="46" spans="1:6" s="8" customFormat="1" ht="22.5" customHeight="1">
      <c r="B46" s="39"/>
      <c r="E46" s="523"/>
      <c r="F46" s="523"/>
    </row>
    <row r="47" spans="1:6" s="8" customFormat="1" ht="22.5" customHeight="1">
      <c r="B47" s="39"/>
      <c r="E47" s="523"/>
      <c r="F47" s="523"/>
    </row>
    <row r="48" spans="1:6" s="8" customFormat="1" ht="22.5" customHeight="1">
      <c r="B48" s="39"/>
      <c r="E48" s="523"/>
      <c r="F48" s="523"/>
    </row>
    <row r="49" spans="2:6" s="8" customFormat="1" ht="22.5" customHeight="1">
      <c r="B49" s="39"/>
      <c r="E49" s="523"/>
      <c r="F49" s="523"/>
    </row>
    <row r="50" spans="2:6" s="8" customFormat="1" ht="22.5" customHeight="1">
      <c r="B50" s="39"/>
      <c r="E50" s="523"/>
      <c r="F50" s="523"/>
    </row>
    <row r="51" spans="2:6" s="8" customFormat="1" ht="22.5" customHeight="1">
      <c r="B51" s="39"/>
      <c r="E51" s="523"/>
      <c r="F51" s="523"/>
    </row>
    <row r="52" spans="2:6" s="8" customFormat="1" ht="22.5" customHeight="1">
      <c r="B52" s="39"/>
      <c r="E52" s="523"/>
      <c r="F52" s="523"/>
    </row>
    <row r="53" spans="2:6" s="8" customFormat="1" ht="22.5" customHeight="1">
      <c r="B53" s="39"/>
      <c r="E53" s="523"/>
      <c r="F53" s="523"/>
    </row>
    <row r="54" spans="2:6" s="8" customFormat="1" ht="22.5" customHeight="1">
      <c r="B54" s="39"/>
      <c r="E54" s="523"/>
      <c r="F54" s="523"/>
    </row>
    <row r="55" spans="2:6" s="8" customFormat="1" ht="22.5" customHeight="1">
      <c r="B55" s="39"/>
      <c r="E55" s="523"/>
      <c r="F55" s="523"/>
    </row>
    <row r="56" spans="2:6" s="8" customFormat="1" ht="22.5" customHeight="1">
      <c r="B56" s="39"/>
      <c r="E56" s="523"/>
      <c r="F56" s="523"/>
    </row>
    <row r="57" spans="2:6" s="8" customFormat="1" ht="22.5" customHeight="1">
      <c r="B57" s="39"/>
      <c r="E57" s="523"/>
      <c r="F57" s="523"/>
    </row>
    <row r="58" spans="2:6" s="8" customFormat="1" ht="22.5" customHeight="1">
      <c r="B58" s="39"/>
      <c r="E58" s="523"/>
      <c r="F58" s="523"/>
    </row>
    <row r="59" spans="2:6" s="8" customFormat="1" ht="22.5" customHeight="1">
      <c r="B59" s="39"/>
      <c r="E59" s="523"/>
      <c r="F59" s="523"/>
    </row>
    <row r="60" spans="2:6" s="8" customFormat="1" ht="22.5" customHeight="1">
      <c r="B60" s="39"/>
      <c r="E60" s="523"/>
      <c r="F60" s="523"/>
    </row>
    <row r="61" spans="2:6" s="8" customFormat="1" ht="22.5" customHeight="1">
      <c r="B61" s="39"/>
      <c r="E61" s="523"/>
      <c r="F61" s="523"/>
    </row>
    <row r="62" spans="2:6" s="8" customFormat="1" ht="22.5" customHeight="1">
      <c r="B62" s="39"/>
      <c r="E62" s="523"/>
      <c r="F62" s="523"/>
    </row>
    <row r="63" spans="2:6" s="8" customFormat="1" ht="22.5" customHeight="1">
      <c r="B63" s="39"/>
      <c r="E63" s="523"/>
      <c r="F63" s="523"/>
    </row>
    <row r="64" spans="2:6" s="8" customFormat="1" ht="22.5" customHeight="1">
      <c r="B64" s="39"/>
      <c r="E64" s="523"/>
      <c r="F64" s="523"/>
    </row>
    <row r="65" spans="2:6" s="8" customFormat="1" ht="22.5" customHeight="1">
      <c r="B65" s="39"/>
      <c r="E65" s="523"/>
      <c r="F65" s="523"/>
    </row>
    <row r="66" spans="2:6" s="8" customFormat="1" ht="22.5" customHeight="1">
      <c r="B66" s="39"/>
      <c r="E66" s="523"/>
      <c r="F66" s="523"/>
    </row>
    <row r="67" spans="2:6" s="8" customFormat="1" ht="22.5" customHeight="1">
      <c r="B67" s="39"/>
      <c r="E67" s="523"/>
      <c r="F67" s="523"/>
    </row>
    <row r="68" spans="2:6" s="8" customFormat="1" ht="22.5" customHeight="1">
      <c r="B68" s="39"/>
      <c r="E68" s="523"/>
      <c r="F68" s="523"/>
    </row>
    <row r="69" spans="2:6" s="8" customFormat="1" ht="22.5" customHeight="1">
      <c r="B69" s="39"/>
      <c r="E69" s="523"/>
      <c r="F69" s="523"/>
    </row>
    <row r="70" spans="2:6" s="8" customFormat="1" ht="22.5" customHeight="1">
      <c r="B70" s="39"/>
      <c r="E70" s="523"/>
      <c r="F70" s="523"/>
    </row>
    <row r="71" spans="2:6" s="8" customFormat="1" ht="22.5" customHeight="1">
      <c r="B71" s="39"/>
      <c r="E71" s="523"/>
      <c r="F71" s="523"/>
    </row>
    <row r="72" spans="2:6" s="8" customFormat="1" ht="22.5" customHeight="1">
      <c r="B72" s="39"/>
      <c r="E72" s="523"/>
      <c r="F72" s="523"/>
    </row>
    <row r="73" spans="2:6" s="8" customFormat="1" ht="22.5" customHeight="1">
      <c r="B73" s="39"/>
      <c r="E73" s="523"/>
      <c r="F73" s="523"/>
    </row>
    <row r="74" spans="2:6" s="8" customFormat="1" ht="22.5" customHeight="1">
      <c r="B74" s="39"/>
      <c r="E74" s="523"/>
      <c r="F74" s="523"/>
    </row>
    <row r="75" spans="2:6" s="8" customFormat="1" ht="22.5" customHeight="1">
      <c r="B75" s="39"/>
      <c r="E75" s="523"/>
      <c r="F75" s="523"/>
    </row>
    <row r="76" spans="2:6" s="8" customFormat="1" ht="22.5" customHeight="1">
      <c r="B76" s="39"/>
      <c r="E76" s="523"/>
      <c r="F76" s="523"/>
    </row>
    <row r="77" spans="2:6" s="8" customFormat="1" ht="22.5" customHeight="1">
      <c r="B77" s="39"/>
      <c r="E77" s="523"/>
      <c r="F77" s="523"/>
    </row>
    <row r="78" spans="2:6" s="8" customFormat="1" ht="22.5" customHeight="1">
      <c r="B78" s="39"/>
      <c r="E78" s="523"/>
      <c r="F78" s="523"/>
    </row>
    <row r="79" spans="2:6" s="8" customFormat="1" ht="22.5" customHeight="1">
      <c r="B79" s="39"/>
      <c r="E79" s="523"/>
      <c r="F79" s="523"/>
    </row>
    <row r="80" spans="2:6" s="8" customFormat="1" ht="22.5" customHeight="1">
      <c r="B80" s="39"/>
      <c r="E80" s="523"/>
      <c r="F80" s="523"/>
    </row>
    <row r="81" spans="2:6" s="8" customFormat="1" ht="22.5" customHeight="1">
      <c r="B81" s="39"/>
      <c r="E81" s="523"/>
      <c r="F81" s="523"/>
    </row>
    <row r="82" spans="2:6" s="8" customFormat="1" ht="22.5" customHeight="1">
      <c r="B82" s="39"/>
      <c r="E82" s="523"/>
      <c r="F82" s="523"/>
    </row>
    <row r="83" spans="2:6" s="8" customFormat="1" ht="22.5" customHeight="1">
      <c r="B83" s="39"/>
      <c r="E83" s="523"/>
      <c r="F83" s="523"/>
    </row>
    <row r="84" spans="2:6" s="8" customFormat="1" ht="22.5" customHeight="1">
      <c r="B84" s="39"/>
      <c r="E84" s="523"/>
      <c r="F84" s="523"/>
    </row>
    <row r="85" spans="2:6" s="8" customFormat="1" ht="22.5" customHeight="1">
      <c r="B85" s="39"/>
      <c r="E85" s="523"/>
      <c r="F85" s="523"/>
    </row>
    <row r="86" spans="2:6" s="8" customFormat="1" ht="22.5" customHeight="1">
      <c r="B86" s="39"/>
      <c r="E86" s="523"/>
      <c r="F86" s="523"/>
    </row>
    <row r="87" spans="2:6" s="8" customFormat="1" ht="22.5" customHeight="1">
      <c r="B87" s="39"/>
      <c r="E87" s="523"/>
      <c r="F87" s="523"/>
    </row>
    <row r="88" spans="2:6" s="8" customFormat="1" ht="22.5" customHeight="1">
      <c r="B88" s="39"/>
      <c r="E88" s="523"/>
      <c r="F88" s="523"/>
    </row>
    <row r="89" spans="2:6" s="8" customFormat="1" ht="22.5" customHeight="1">
      <c r="B89" s="39"/>
      <c r="E89" s="523"/>
      <c r="F89" s="523"/>
    </row>
    <row r="90" spans="2:6" s="8" customFormat="1" ht="22.5" customHeight="1">
      <c r="B90" s="39"/>
      <c r="E90" s="523"/>
      <c r="F90" s="523"/>
    </row>
    <row r="91" spans="2:6" s="8" customFormat="1" ht="22.5" customHeight="1">
      <c r="B91" s="39"/>
      <c r="E91" s="523"/>
      <c r="F91" s="523"/>
    </row>
    <row r="92" spans="2:6" s="8" customFormat="1" ht="22.5" customHeight="1">
      <c r="B92" s="39"/>
      <c r="E92" s="523"/>
      <c r="F92" s="523"/>
    </row>
    <row r="93" spans="2:6" s="8" customFormat="1" ht="22.5" customHeight="1">
      <c r="B93" s="39"/>
      <c r="E93" s="523"/>
      <c r="F93" s="523"/>
    </row>
    <row r="94" spans="2:6" s="8" customFormat="1" ht="22.5" customHeight="1">
      <c r="B94" s="39"/>
      <c r="E94" s="523"/>
      <c r="F94" s="523"/>
    </row>
    <row r="95" spans="2:6" s="8" customFormat="1" ht="22.5" customHeight="1">
      <c r="B95" s="39"/>
      <c r="E95" s="523"/>
      <c r="F95" s="523"/>
    </row>
    <row r="96" spans="2:6" s="8" customFormat="1" ht="22.5" customHeight="1">
      <c r="B96" s="39"/>
      <c r="E96" s="523"/>
      <c r="F96" s="523"/>
    </row>
    <row r="97" spans="2:6" s="8" customFormat="1" ht="22.5" customHeight="1">
      <c r="B97" s="39"/>
      <c r="E97" s="523"/>
      <c r="F97" s="523"/>
    </row>
    <row r="98" spans="2:6" s="8" customFormat="1" ht="22.5" customHeight="1">
      <c r="B98" s="39"/>
      <c r="E98" s="523"/>
      <c r="F98" s="523"/>
    </row>
    <row r="99" spans="2:6" s="8" customFormat="1" ht="22.5" customHeight="1">
      <c r="B99" s="39"/>
      <c r="E99" s="523"/>
      <c r="F99" s="523"/>
    </row>
    <row r="100" spans="2:6" s="8" customFormat="1" ht="22.5" customHeight="1">
      <c r="B100" s="39"/>
      <c r="E100" s="523"/>
      <c r="F100" s="523"/>
    </row>
    <row r="101" spans="2:6" s="8" customFormat="1" ht="22.5" customHeight="1">
      <c r="B101" s="39"/>
      <c r="E101" s="523"/>
      <c r="F101" s="523"/>
    </row>
    <row r="102" spans="2:6" s="8" customFormat="1" ht="22.5" customHeight="1">
      <c r="B102" s="39"/>
      <c r="E102" s="523"/>
      <c r="F102" s="523"/>
    </row>
    <row r="103" spans="2:6" s="8" customFormat="1" ht="22.5" customHeight="1">
      <c r="B103" s="39"/>
      <c r="E103" s="523"/>
      <c r="F103" s="523"/>
    </row>
    <row r="104" spans="2:6" s="8" customFormat="1" ht="22.5" customHeight="1">
      <c r="B104" s="39"/>
      <c r="E104" s="523"/>
      <c r="F104" s="523"/>
    </row>
    <row r="105" spans="2:6" s="8" customFormat="1" ht="22.5" customHeight="1">
      <c r="B105" s="39"/>
      <c r="E105" s="523"/>
      <c r="F105" s="523"/>
    </row>
    <row r="106" spans="2:6" s="8" customFormat="1" ht="22.5" customHeight="1">
      <c r="B106" s="39"/>
      <c r="E106" s="523"/>
      <c r="F106" s="523"/>
    </row>
    <row r="107" spans="2:6" s="8" customFormat="1" ht="22.5" customHeight="1">
      <c r="B107" s="39"/>
      <c r="E107" s="523"/>
      <c r="F107" s="523"/>
    </row>
    <row r="108" spans="2:6" s="8" customFormat="1" ht="22.5" customHeight="1">
      <c r="B108" s="39"/>
      <c r="E108" s="523"/>
      <c r="F108" s="523"/>
    </row>
    <row r="109" spans="2:6" s="8" customFormat="1" ht="22.5" customHeight="1">
      <c r="B109" s="39"/>
      <c r="E109" s="523"/>
      <c r="F109" s="523"/>
    </row>
    <row r="110" spans="2:6" s="8" customFormat="1" ht="22.5" customHeight="1">
      <c r="B110" s="39"/>
      <c r="E110" s="523"/>
      <c r="F110" s="523"/>
    </row>
    <row r="111" spans="2:6" s="8" customFormat="1" ht="22.5" customHeight="1">
      <c r="B111" s="39"/>
      <c r="E111" s="523"/>
      <c r="F111" s="523"/>
    </row>
    <row r="112" spans="2:6" s="8" customFormat="1" ht="22.5" customHeight="1">
      <c r="B112" s="39"/>
      <c r="E112" s="523"/>
      <c r="F112" s="523"/>
    </row>
    <row r="113" spans="2:6" s="8" customFormat="1" ht="22.5" customHeight="1">
      <c r="B113" s="39"/>
      <c r="E113" s="523"/>
      <c r="F113" s="523"/>
    </row>
    <row r="114" spans="2:6" s="8" customFormat="1" ht="22.5" customHeight="1">
      <c r="B114" s="39"/>
      <c r="E114" s="523"/>
      <c r="F114" s="523"/>
    </row>
    <row r="115" spans="2:6" s="8" customFormat="1" ht="22.5" customHeight="1">
      <c r="B115" s="39"/>
      <c r="E115" s="523"/>
      <c r="F115" s="523"/>
    </row>
    <row r="116" spans="2:6" s="8" customFormat="1" ht="22.5" customHeight="1">
      <c r="B116" s="39"/>
      <c r="E116" s="523"/>
      <c r="F116" s="523"/>
    </row>
    <row r="117" spans="2:6" s="8" customFormat="1" ht="22.5" customHeight="1">
      <c r="B117" s="39"/>
      <c r="E117" s="523"/>
      <c r="F117" s="523"/>
    </row>
    <row r="118" spans="2:6" s="8" customFormat="1" ht="22.5" customHeight="1">
      <c r="B118" s="39"/>
      <c r="E118" s="523"/>
      <c r="F118" s="523"/>
    </row>
    <row r="119" spans="2:6" s="8" customFormat="1" ht="22.5" customHeight="1">
      <c r="B119" s="39"/>
      <c r="E119" s="523"/>
      <c r="F119" s="523"/>
    </row>
    <row r="120" spans="2:6" s="8" customFormat="1" ht="22.5" customHeight="1">
      <c r="B120" s="39"/>
      <c r="E120" s="523"/>
      <c r="F120" s="523"/>
    </row>
    <row r="121" spans="2:6" s="8" customFormat="1" ht="22.5" customHeight="1">
      <c r="B121" s="39"/>
      <c r="E121" s="523"/>
      <c r="F121" s="523"/>
    </row>
    <row r="122" spans="2:6" s="8" customFormat="1" ht="22.5" customHeight="1">
      <c r="B122" s="39"/>
      <c r="E122" s="523"/>
      <c r="F122" s="523"/>
    </row>
    <row r="123" spans="2:6" s="8" customFormat="1" ht="22.5" customHeight="1">
      <c r="B123" s="39"/>
      <c r="E123" s="523"/>
      <c r="F123" s="523"/>
    </row>
    <row r="124" spans="2:6" s="8" customFormat="1" ht="22.5" customHeight="1">
      <c r="B124" s="39"/>
      <c r="E124" s="523"/>
      <c r="F124" s="523"/>
    </row>
    <row r="125" spans="2:6" s="8" customFormat="1" ht="22.5" customHeight="1">
      <c r="B125" s="39"/>
      <c r="E125" s="523"/>
      <c r="F125" s="523"/>
    </row>
    <row r="126" spans="2:6" s="8" customFormat="1" ht="22.5" customHeight="1">
      <c r="B126" s="39"/>
      <c r="E126" s="523"/>
      <c r="F126" s="523"/>
    </row>
    <row r="127" spans="2:6" s="8" customFormat="1" ht="22.5" customHeight="1">
      <c r="B127" s="39"/>
      <c r="E127" s="523"/>
      <c r="F127" s="523"/>
    </row>
    <row r="128" spans="2:6" s="8" customFormat="1" ht="22.5" customHeight="1">
      <c r="B128" s="39"/>
      <c r="E128" s="523"/>
      <c r="F128" s="523"/>
    </row>
    <row r="129" spans="2:6" s="8" customFormat="1" ht="22.5" customHeight="1">
      <c r="B129" s="39"/>
      <c r="E129" s="523"/>
      <c r="F129" s="523"/>
    </row>
    <row r="130" spans="2:6" s="8" customFormat="1" ht="22.5" customHeight="1">
      <c r="B130" s="39"/>
      <c r="E130" s="523"/>
      <c r="F130" s="523"/>
    </row>
    <row r="131" spans="2:6" s="8" customFormat="1" ht="22.5" customHeight="1">
      <c r="B131" s="39"/>
      <c r="E131" s="523"/>
      <c r="F131" s="523"/>
    </row>
    <row r="132" spans="2:6" s="8" customFormat="1" ht="22.5" customHeight="1">
      <c r="B132" s="39"/>
      <c r="E132" s="523"/>
      <c r="F132" s="523"/>
    </row>
    <row r="133" spans="2:6" s="8" customFormat="1" ht="22.5" customHeight="1">
      <c r="B133" s="39"/>
      <c r="E133" s="523"/>
      <c r="F133" s="523"/>
    </row>
    <row r="134" spans="2:6" s="8" customFormat="1" ht="22.5" customHeight="1">
      <c r="B134" s="39"/>
      <c r="E134" s="523"/>
      <c r="F134" s="523"/>
    </row>
    <row r="135" spans="2:6" s="8" customFormat="1" ht="22.5" customHeight="1">
      <c r="B135" s="39"/>
      <c r="E135" s="523"/>
      <c r="F135" s="523"/>
    </row>
    <row r="136" spans="2:6" s="8" customFormat="1" ht="22.5" customHeight="1">
      <c r="B136" s="39"/>
      <c r="E136" s="523"/>
      <c r="F136" s="523"/>
    </row>
    <row r="137" spans="2:6" s="8" customFormat="1" ht="22.5" customHeight="1">
      <c r="B137" s="39"/>
      <c r="E137" s="523"/>
      <c r="F137" s="523"/>
    </row>
    <row r="138" spans="2:6" s="8" customFormat="1" ht="22.5" customHeight="1">
      <c r="B138" s="39"/>
      <c r="E138" s="523"/>
      <c r="F138" s="523"/>
    </row>
    <row r="139" spans="2:6" s="8" customFormat="1" ht="22.5" customHeight="1">
      <c r="B139" s="39"/>
      <c r="E139" s="523"/>
      <c r="F139" s="523"/>
    </row>
    <row r="140" spans="2:6" s="8" customFormat="1" ht="22.5" customHeight="1">
      <c r="B140" s="39"/>
      <c r="E140" s="523"/>
      <c r="F140" s="523"/>
    </row>
    <row r="141" spans="2:6" s="8" customFormat="1" ht="22.5" customHeight="1">
      <c r="B141" s="39"/>
      <c r="E141" s="523"/>
      <c r="F141" s="523"/>
    </row>
    <row r="142" spans="2:6" s="8" customFormat="1" ht="22.5" customHeight="1">
      <c r="B142" s="39"/>
      <c r="E142" s="523"/>
      <c r="F142" s="523"/>
    </row>
    <row r="143" spans="2:6" s="8" customFormat="1" ht="22.5" customHeight="1">
      <c r="B143" s="39"/>
      <c r="E143" s="523"/>
      <c r="F143" s="523"/>
    </row>
    <row r="144" spans="2:6" s="8" customFormat="1" ht="22.5" customHeight="1">
      <c r="B144" s="39"/>
      <c r="E144" s="523"/>
      <c r="F144" s="523"/>
    </row>
    <row r="145" spans="2:6" s="8" customFormat="1" ht="22.5" customHeight="1">
      <c r="B145" s="39"/>
      <c r="E145" s="523"/>
      <c r="F145" s="523"/>
    </row>
    <row r="146" spans="2:6" s="8" customFormat="1" ht="22.5" customHeight="1">
      <c r="B146" s="39"/>
      <c r="E146" s="523"/>
      <c r="F146" s="523"/>
    </row>
    <row r="147" spans="2:6" s="8" customFormat="1" ht="22.5" customHeight="1">
      <c r="B147" s="39"/>
      <c r="E147" s="523"/>
      <c r="F147" s="523"/>
    </row>
    <row r="148" spans="2:6" s="8" customFormat="1" ht="22.5" customHeight="1">
      <c r="B148" s="39"/>
      <c r="E148" s="523"/>
      <c r="F148" s="523"/>
    </row>
    <row r="149" spans="2:6" s="8" customFormat="1" ht="22.5" customHeight="1">
      <c r="B149" s="39"/>
      <c r="E149" s="523"/>
      <c r="F149" s="523"/>
    </row>
    <row r="150" spans="2:6" s="8" customFormat="1" ht="22.5" customHeight="1">
      <c r="B150" s="39"/>
      <c r="E150" s="523"/>
      <c r="F150" s="523"/>
    </row>
    <row r="151" spans="2:6" s="8" customFormat="1" ht="22.5" customHeight="1">
      <c r="B151" s="39"/>
      <c r="E151" s="523"/>
      <c r="F151" s="523"/>
    </row>
    <row r="152" spans="2:6" s="8" customFormat="1" ht="22.5" customHeight="1">
      <c r="B152" s="39"/>
      <c r="E152" s="523"/>
      <c r="F152" s="523"/>
    </row>
    <row r="153" spans="2:6" s="8" customFormat="1" ht="22.5" customHeight="1">
      <c r="B153" s="39"/>
      <c r="E153" s="523"/>
      <c r="F153" s="523"/>
    </row>
    <row r="154" spans="2:6" s="8" customFormat="1" ht="22.5" customHeight="1">
      <c r="B154" s="39"/>
      <c r="E154" s="523"/>
      <c r="F154" s="523"/>
    </row>
    <row r="155" spans="2:6" s="8" customFormat="1" ht="22.5" customHeight="1">
      <c r="B155" s="39"/>
      <c r="E155" s="523"/>
      <c r="F155" s="523"/>
    </row>
    <row r="156" spans="2:6" s="8" customFormat="1" ht="22.5" customHeight="1">
      <c r="B156" s="39"/>
      <c r="E156" s="523"/>
      <c r="F156" s="523"/>
    </row>
    <row r="157" spans="2:6" s="8" customFormat="1" ht="22.5" customHeight="1">
      <c r="B157" s="39"/>
      <c r="E157" s="523"/>
      <c r="F157" s="523"/>
    </row>
    <row r="158" spans="2:6" s="8" customFormat="1" ht="22.5" customHeight="1">
      <c r="B158" s="39"/>
      <c r="E158" s="523"/>
      <c r="F158" s="523"/>
    </row>
    <row r="159" spans="2:6" s="8" customFormat="1" ht="22.5" customHeight="1">
      <c r="B159" s="39"/>
      <c r="E159" s="523"/>
      <c r="F159" s="523"/>
    </row>
    <row r="160" spans="2:6" s="8" customFormat="1" ht="22.5" customHeight="1">
      <c r="B160" s="39"/>
      <c r="E160" s="523"/>
      <c r="F160" s="523"/>
    </row>
    <row r="161" spans="2:6" s="8" customFormat="1" ht="22.5" customHeight="1">
      <c r="B161" s="39"/>
      <c r="E161" s="523"/>
      <c r="F161" s="523"/>
    </row>
    <row r="162" spans="2:6" s="8" customFormat="1" ht="22.5" customHeight="1">
      <c r="B162" s="39"/>
      <c r="E162" s="523"/>
      <c r="F162" s="523"/>
    </row>
    <row r="163" spans="2:6" s="8" customFormat="1" ht="22.5" customHeight="1">
      <c r="B163" s="39"/>
      <c r="E163" s="523"/>
      <c r="F163" s="523"/>
    </row>
    <row r="164" spans="2:6" s="8" customFormat="1" ht="22.5" customHeight="1">
      <c r="B164" s="39"/>
      <c r="E164" s="523"/>
      <c r="F164" s="523"/>
    </row>
    <row r="165" spans="2:6" s="8" customFormat="1" ht="22.5" customHeight="1">
      <c r="B165" s="39"/>
      <c r="E165" s="523"/>
      <c r="F165" s="523"/>
    </row>
    <row r="166" spans="2:6" s="8" customFormat="1" ht="22.5" customHeight="1">
      <c r="B166" s="39"/>
      <c r="E166" s="523"/>
      <c r="F166" s="523"/>
    </row>
    <row r="167" spans="2:6" s="8" customFormat="1" ht="22.5" customHeight="1">
      <c r="B167" s="39"/>
      <c r="E167" s="523"/>
      <c r="F167" s="523"/>
    </row>
    <row r="168" spans="2:6" s="8" customFormat="1" ht="22.5" customHeight="1">
      <c r="B168" s="39"/>
      <c r="E168" s="523"/>
      <c r="F168" s="523"/>
    </row>
    <row r="169" spans="2:6" s="8" customFormat="1" ht="22.5" customHeight="1">
      <c r="B169" s="39"/>
      <c r="E169" s="523"/>
      <c r="F169" s="523"/>
    </row>
    <row r="170" spans="2:6" s="8" customFormat="1" ht="22.5" customHeight="1">
      <c r="B170" s="39"/>
      <c r="E170" s="523"/>
      <c r="F170" s="523"/>
    </row>
    <row r="171" spans="2:6" s="8" customFormat="1" ht="22.5" customHeight="1">
      <c r="B171" s="39"/>
      <c r="E171" s="523"/>
      <c r="F171" s="523"/>
    </row>
    <row r="172" spans="2:6" s="8" customFormat="1" ht="22.5" customHeight="1">
      <c r="B172" s="39"/>
      <c r="E172" s="523"/>
      <c r="F172" s="523"/>
    </row>
    <row r="173" spans="2:6" s="8" customFormat="1" ht="22.5" customHeight="1">
      <c r="B173" s="39"/>
      <c r="E173" s="523"/>
      <c r="F173" s="523"/>
    </row>
    <row r="174" spans="2:6" s="8" customFormat="1" ht="22.5" customHeight="1">
      <c r="B174" s="39"/>
      <c r="E174" s="523"/>
      <c r="F174" s="523"/>
    </row>
    <row r="175" spans="2:6" s="8" customFormat="1" ht="22.5" customHeight="1">
      <c r="B175" s="39"/>
      <c r="E175" s="523"/>
      <c r="F175" s="523"/>
    </row>
    <row r="176" spans="2:6" s="8" customFormat="1" ht="22.5" customHeight="1">
      <c r="B176" s="39"/>
      <c r="E176" s="523"/>
      <c r="F176" s="523"/>
    </row>
    <row r="177" spans="2:6" s="8" customFormat="1" ht="22.5" customHeight="1">
      <c r="B177" s="39"/>
      <c r="E177" s="523"/>
      <c r="F177" s="523"/>
    </row>
    <row r="178" spans="2:6" s="8" customFormat="1" ht="22.5" customHeight="1">
      <c r="B178" s="39"/>
      <c r="E178" s="523"/>
      <c r="F178" s="523"/>
    </row>
    <row r="179" spans="2:6" s="8" customFormat="1" ht="22.5" customHeight="1">
      <c r="B179" s="39"/>
      <c r="E179" s="523"/>
      <c r="F179" s="523"/>
    </row>
    <row r="180" spans="2:6" s="8" customFormat="1" ht="22.5" customHeight="1">
      <c r="B180" s="39"/>
      <c r="E180" s="523"/>
      <c r="F180" s="523"/>
    </row>
    <row r="181" spans="2:6" s="8" customFormat="1" ht="22.5" customHeight="1">
      <c r="B181" s="39"/>
      <c r="E181" s="523"/>
      <c r="F181" s="523"/>
    </row>
    <row r="182" spans="2:6" s="8" customFormat="1" ht="22.5" customHeight="1">
      <c r="B182" s="39"/>
      <c r="E182" s="523"/>
      <c r="F182" s="523"/>
    </row>
    <row r="183" spans="2:6" s="8" customFormat="1" ht="22.5" customHeight="1">
      <c r="B183" s="39"/>
      <c r="E183" s="523"/>
      <c r="F183" s="523"/>
    </row>
    <row r="184" spans="2:6" s="8" customFormat="1" ht="22.5" customHeight="1">
      <c r="B184" s="39"/>
      <c r="E184" s="523"/>
      <c r="F184" s="523"/>
    </row>
    <row r="185" spans="2:6" s="8" customFormat="1" ht="22.5" customHeight="1">
      <c r="B185" s="39"/>
      <c r="E185" s="523"/>
      <c r="F185" s="523"/>
    </row>
    <row r="186" spans="2:6" s="8" customFormat="1" ht="22.5" customHeight="1">
      <c r="B186" s="39"/>
      <c r="E186" s="523"/>
      <c r="F186" s="523"/>
    </row>
    <row r="187" spans="2:6" s="8" customFormat="1" ht="22.5" customHeight="1">
      <c r="B187" s="39"/>
      <c r="E187" s="523"/>
      <c r="F187" s="523"/>
    </row>
    <row r="188" spans="2:6" s="8" customFormat="1">
      <c r="B188" s="39"/>
      <c r="E188" s="523"/>
      <c r="F188" s="523"/>
    </row>
    <row r="189" spans="2:6" s="8" customFormat="1">
      <c r="B189" s="39"/>
      <c r="E189" s="523"/>
      <c r="F189" s="523"/>
    </row>
    <row r="190" spans="2:6" s="8" customFormat="1">
      <c r="B190" s="39"/>
      <c r="E190" s="523"/>
      <c r="F190" s="523"/>
    </row>
    <row r="191" spans="2:6" s="8" customFormat="1">
      <c r="B191" s="39"/>
      <c r="E191" s="523"/>
      <c r="F191" s="523"/>
    </row>
    <row r="192" spans="2:6" s="8" customFormat="1">
      <c r="B192" s="39"/>
      <c r="E192" s="523"/>
      <c r="F192" s="523"/>
    </row>
    <row r="193" spans="2:6" s="8" customFormat="1">
      <c r="B193" s="39"/>
      <c r="E193" s="523"/>
      <c r="F193" s="523"/>
    </row>
    <row r="194" spans="2:6" s="8" customFormat="1">
      <c r="B194" s="39"/>
      <c r="E194" s="523"/>
      <c r="F194" s="523"/>
    </row>
    <row r="195" spans="2:6" s="8" customFormat="1">
      <c r="B195" s="39"/>
      <c r="E195" s="523"/>
      <c r="F195" s="523"/>
    </row>
    <row r="196" spans="2:6" s="8" customFormat="1">
      <c r="B196" s="39"/>
      <c r="E196" s="523"/>
      <c r="F196" s="523"/>
    </row>
    <row r="197" spans="2:6" s="8" customFormat="1">
      <c r="B197" s="39"/>
      <c r="E197" s="523"/>
      <c r="F197" s="523"/>
    </row>
    <row r="198" spans="2:6" s="8" customFormat="1">
      <c r="B198" s="39"/>
      <c r="E198" s="523"/>
      <c r="F198" s="523"/>
    </row>
    <row r="199" spans="2:6" s="8" customFormat="1">
      <c r="B199" s="39"/>
      <c r="E199" s="523"/>
      <c r="F199" s="523"/>
    </row>
    <row r="200" spans="2:6" s="8" customFormat="1">
      <c r="B200" s="39"/>
      <c r="E200" s="523"/>
      <c r="F200" s="523"/>
    </row>
    <row r="201" spans="2:6" s="8" customFormat="1">
      <c r="B201" s="39"/>
      <c r="E201" s="523"/>
      <c r="F201" s="523"/>
    </row>
    <row r="202" spans="2:6" s="8" customFormat="1">
      <c r="B202" s="39"/>
      <c r="E202" s="523"/>
      <c r="F202" s="523"/>
    </row>
    <row r="203" spans="2:6" s="8" customFormat="1">
      <c r="B203" s="39"/>
      <c r="E203" s="523"/>
      <c r="F203" s="523"/>
    </row>
    <row r="204" spans="2:6" s="8" customFormat="1">
      <c r="B204" s="39"/>
      <c r="E204" s="523"/>
      <c r="F204" s="523"/>
    </row>
    <row r="205" spans="2:6" s="8" customFormat="1">
      <c r="B205" s="39"/>
      <c r="E205" s="523"/>
      <c r="F205" s="523"/>
    </row>
    <row r="206" spans="2:6" s="8" customFormat="1">
      <c r="B206" s="39"/>
      <c r="E206" s="523"/>
      <c r="F206" s="523"/>
    </row>
    <row r="207" spans="2:6" s="8" customFormat="1">
      <c r="B207" s="39"/>
      <c r="E207" s="523"/>
      <c r="F207" s="523"/>
    </row>
    <row r="208" spans="2:6" s="8" customFormat="1">
      <c r="B208" s="39"/>
      <c r="E208" s="523"/>
      <c r="F208" s="523"/>
    </row>
    <row r="209" spans="2:6" s="8" customFormat="1">
      <c r="B209" s="39"/>
      <c r="E209" s="523"/>
      <c r="F209" s="523"/>
    </row>
    <row r="210" spans="2:6" s="8" customFormat="1">
      <c r="B210" s="39"/>
      <c r="E210" s="523"/>
      <c r="F210" s="523"/>
    </row>
    <row r="211" spans="2:6" s="8" customFormat="1">
      <c r="B211" s="39"/>
      <c r="E211" s="523"/>
      <c r="F211" s="523"/>
    </row>
    <row r="212" spans="2:6" s="8" customFormat="1">
      <c r="B212" s="39"/>
      <c r="E212" s="523"/>
      <c r="F212" s="523"/>
    </row>
    <row r="213" spans="2:6" s="8" customFormat="1">
      <c r="B213" s="39"/>
      <c r="E213" s="523"/>
      <c r="F213" s="523"/>
    </row>
    <row r="214" spans="2:6" s="8" customFormat="1">
      <c r="B214" s="39"/>
      <c r="E214" s="523"/>
      <c r="F214" s="523"/>
    </row>
    <row r="215" spans="2:6" s="8" customFormat="1">
      <c r="B215" s="39"/>
      <c r="E215" s="523"/>
      <c r="F215" s="523"/>
    </row>
    <row r="216" spans="2:6" s="8" customFormat="1">
      <c r="B216" s="39"/>
      <c r="E216" s="523"/>
      <c r="F216" s="523"/>
    </row>
    <row r="217" spans="2:6" s="8" customFormat="1">
      <c r="B217" s="39"/>
      <c r="E217" s="523"/>
      <c r="F217" s="523"/>
    </row>
    <row r="218" spans="2:6" s="8" customFormat="1">
      <c r="B218" s="39"/>
      <c r="E218" s="523"/>
      <c r="F218" s="523"/>
    </row>
    <row r="219" spans="2:6" s="8" customFormat="1">
      <c r="B219" s="39"/>
      <c r="E219" s="523"/>
      <c r="F219" s="523"/>
    </row>
    <row r="220" spans="2:6" s="8" customFormat="1">
      <c r="B220" s="39"/>
      <c r="E220" s="523"/>
      <c r="F220" s="523"/>
    </row>
    <row r="221" spans="2:6" s="8" customFormat="1">
      <c r="B221" s="39"/>
      <c r="E221" s="523"/>
      <c r="F221" s="523"/>
    </row>
    <row r="222" spans="2:6" s="8" customFormat="1">
      <c r="B222" s="39"/>
      <c r="E222" s="523"/>
      <c r="F222" s="523"/>
    </row>
    <row r="223" spans="2:6" s="8" customFormat="1">
      <c r="B223" s="39"/>
      <c r="E223" s="523"/>
      <c r="F223" s="523"/>
    </row>
    <row r="224" spans="2:6" s="8" customFormat="1">
      <c r="B224" s="39"/>
      <c r="E224" s="523"/>
      <c r="F224" s="523"/>
    </row>
    <row r="225" spans="2:6" s="8" customFormat="1">
      <c r="B225" s="39"/>
      <c r="E225" s="523"/>
      <c r="F225" s="523"/>
    </row>
    <row r="226" spans="2:6" s="8" customFormat="1">
      <c r="B226" s="39"/>
      <c r="E226" s="523"/>
      <c r="F226" s="523"/>
    </row>
    <row r="227" spans="2:6" s="8" customFormat="1">
      <c r="B227" s="39"/>
      <c r="E227" s="523"/>
      <c r="F227" s="523"/>
    </row>
    <row r="228" spans="2:6" s="8" customFormat="1">
      <c r="B228" s="39"/>
      <c r="E228" s="523"/>
      <c r="F228" s="523"/>
    </row>
    <row r="229" spans="2:6" s="8" customFormat="1">
      <c r="B229" s="39"/>
      <c r="E229" s="523"/>
      <c r="F229" s="523"/>
    </row>
    <row r="230" spans="2:6" s="8" customFormat="1">
      <c r="B230" s="39"/>
      <c r="E230" s="523"/>
      <c r="F230" s="523"/>
    </row>
    <row r="231" spans="2:6" s="8" customFormat="1">
      <c r="B231" s="39"/>
      <c r="E231" s="523"/>
      <c r="F231" s="523"/>
    </row>
    <row r="232" spans="2:6" s="8" customFormat="1">
      <c r="B232" s="39"/>
      <c r="E232" s="523"/>
      <c r="F232" s="523"/>
    </row>
    <row r="233" spans="2:6" s="8" customFormat="1">
      <c r="B233" s="39"/>
      <c r="E233" s="523"/>
      <c r="F233" s="523"/>
    </row>
    <row r="234" spans="2:6" s="8" customFormat="1">
      <c r="B234" s="39"/>
      <c r="E234" s="523"/>
      <c r="F234" s="523"/>
    </row>
    <row r="235" spans="2:6" s="8" customFormat="1">
      <c r="B235" s="39"/>
      <c r="E235" s="523"/>
      <c r="F235" s="523"/>
    </row>
    <row r="236" spans="2:6" s="8" customFormat="1">
      <c r="B236" s="39"/>
      <c r="E236" s="523"/>
      <c r="F236" s="523"/>
    </row>
    <row r="237" spans="2:6" s="8" customFormat="1">
      <c r="B237" s="39"/>
      <c r="E237" s="523"/>
      <c r="F237" s="523"/>
    </row>
    <row r="238" spans="2:6" s="8" customFormat="1">
      <c r="B238" s="39"/>
      <c r="E238" s="523"/>
      <c r="F238" s="523"/>
    </row>
    <row r="239" spans="2:6" s="8" customFormat="1">
      <c r="B239" s="39"/>
      <c r="E239" s="523"/>
      <c r="F239" s="523"/>
    </row>
    <row r="240" spans="2:6" s="8" customFormat="1">
      <c r="B240" s="39"/>
      <c r="E240" s="523"/>
      <c r="F240" s="523"/>
    </row>
    <row r="241" spans="2:6" s="8" customFormat="1">
      <c r="B241" s="39"/>
      <c r="E241" s="523"/>
      <c r="F241" s="523"/>
    </row>
    <row r="242" spans="2:6" s="8" customFormat="1">
      <c r="B242" s="39"/>
      <c r="E242" s="523"/>
      <c r="F242" s="523"/>
    </row>
    <row r="243" spans="2:6" s="8" customFormat="1">
      <c r="B243" s="39"/>
      <c r="E243" s="523"/>
      <c r="F243" s="523"/>
    </row>
    <row r="244" spans="2:6" s="8" customFormat="1">
      <c r="B244" s="39"/>
      <c r="E244" s="523"/>
      <c r="F244" s="523"/>
    </row>
    <row r="245" spans="2:6" s="8" customFormat="1">
      <c r="B245" s="39"/>
      <c r="E245" s="523"/>
      <c r="F245" s="523"/>
    </row>
    <row r="246" spans="2:6" s="8" customFormat="1">
      <c r="B246" s="39"/>
      <c r="E246" s="523"/>
      <c r="F246" s="523"/>
    </row>
    <row r="247" spans="2:6" s="8" customFormat="1">
      <c r="B247" s="39"/>
      <c r="E247" s="523"/>
      <c r="F247" s="523"/>
    </row>
    <row r="248" spans="2:6" s="8" customFormat="1">
      <c r="B248" s="39"/>
      <c r="E248" s="523"/>
      <c r="F248" s="523"/>
    </row>
    <row r="249" spans="2:6" s="8" customFormat="1">
      <c r="B249" s="39"/>
      <c r="E249" s="523"/>
      <c r="F249" s="523"/>
    </row>
    <row r="250" spans="2:6" s="8" customFormat="1">
      <c r="B250" s="39"/>
      <c r="E250" s="523"/>
      <c r="F250" s="523"/>
    </row>
    <row r="251" spans="2:6" s="8" customFormat="1">
      <c r="B251" s="39"/>
      <c r="E251" s="523"/>
      <c r="F251" s="523"/>
    </row>
    <row r="252" spans="2:6" s="8" customFormat="1">
      <c r="B252" s="39"/>
      <c r="E252" s="523"/>
      <c r="F252" s="523"/>
    </row>
    <row r="253" spans="2:6" s="8" customFormat="1">
      <c r="B253" s="39"/>
      <c r="E253" s="523"/>
      <c r="F253" s="523"/>
    </row>
    <row r="254" spans="2:6" s="8" customFormat="1">
      <c r="B254" s="39"/>
      <c r="E254" s="523"/>
      <c r="F254" s="523"/>
    </row>
    <row r="255" spans="2:6" s="8" customFormat="1">
      <c r="B255" s="39"/>
      <c r="E255" s="523"/>
      <c r="F255" s="523"/>
    </row>
    <row r="256" spans="2:6" s="8" customFormat="1">
      <c r="B256" s="39"/>
      <c r="E256" s="523"/>
      <c r="F256" s="523"/>
    </row>
    <row r="257" spans="2:6" s="8" customFormat="1">
      <c r="B257" s="39"/>
      <c r="E257" s="523"/>
      <c r="F257" s="523"/>
    </row>
    <row r="258" spans="2:6" s="8" customFormat="1">
      <c r="B258" s="39"/>
      <c r="E258" s="523"/>
      <c r="F258" s="523"/>
    </row>
    <row r="259" spans="2:6" s="8" customFormat="1">
      <c r="B259" s="39"/>
      <c r="E259" s="523"/>
      <c r="F259" s="523"/>
    </row>
    <row r="260" spans="2:6" s="8" customFormat="1">
      <c r="B260" s="39"/>
      <c r="E260" s="523"/>
      <c r="F260" s="523"/>
    </row>
    <row r="261" spans="2:6" s="8" customFormat="1">
      <c r="B261" s="39"/>
      <c r="E261" s="523"/>
      <c r="F261" s="523"/>
    </row>
    <row r="262" spans="2:6" s="8" customFormat="1">
      <c r="B262" s="39"/>
      <c r="E262" s="523"/>
      <c r="F262" s="523"/>
    </row>
    <row r="263" spans="2:6" s="8" customFormat="1">
      <c r="B263" s="39"/>
      <c r="E263" s="523"/>
      <c r="F263" s="523"/>
    </row>
    <row r="264" spans="2:6" s="8" customFormat="1">
      <c r="B264" s="39"/>
      <c r="E264" s="523"/>
      <c r="F264" s="523"/>
    </row>
    <row r="265" spans="2:6" s="8" customFormat="1">
      <c r="B265" s="39"/>
      <c r="E265" s="523"/>
      <c r="F265" s="523"/>
    </row>
    <row r="266" spans="2:6" s="8" customFormat="1">
      <c r="B266" s="39"/>
      <c r="E266" s="523"/>
      <c r="F266" s="523"/>
    </row>
    <row r="267" spans="2:6" s="8" customFormat="1">
      <c r="B267" s="39"/>
      <c r="E267" s="523"/>
      <c r="F267" s="523"/>
    </row>
    <row r="268" spans="2:6" s="8" customFormat="1">
      <c r="B268" s="39"/>
      <c r="E268" s="523"/>
      <c r="F268" s="523"/>
    </row>
    <row r="269" spans="2:6" s="8" customFormat="1">
      <c r="B269" s="39"/>
      <c r="E269" s="523"/>
      <c r="F269" s="523"/>
    </row>
    <row r="270" spans="2:6" s="8" customFormat="1">
      <c r="B270" s="39"/>
      <c r="E270" s="523"/>
      <c r="F270" s="523"/>
    </row>
    <row r="271" spans="2:6" s="8" customFormat="1">
      <c r="B271" s="39"/>
      <c r="E271" s="523"/>
      <c r="F271" s="523"/>
    </row>
    <row r="272" spans="2:6" s="8" customFormat="1">
      <c r="B272" s="39"/>
      <c r="E272" s="523"/>
      <c r="F272" s="523"/>
    </row>
    <row r="273" spans="2:6" s="8" customFormat="1">
      <c r="B273" s="39"/>
      <c r="E273" s="523"/>
      <c r="F273" s="523"/>
    </row>
    <row r="274" spans="2:6" s="8" customFormat="1">
      <c r="B274" s="39"/>
      <c r="E274" s="523"/>
      <c r="F274" s="523"/>
    </row>
    <row r="275" spans="2:6" s="8" customFormat="1">
      <c r="B275" s="39"/>
      <c r="E275" s="523"/>
      <c r="F275" s="523"/>
    </row>
    <row r="276" spans="2:6" s="8" customFormat="1">
      <c r="B276" s="39"/>
      <c r="E276" s="523"/>
      <c r="F276" s="523"/>
    </row>
    <row r="277" spans="2:6" s="8" customFormat="1">
      <c r="B277" s="39"/>
      <c r="E277" s="523"/>
      <c r="F277" s="523"/>
    </row>
    <row r="278" spans="2:6" s="8" customFormat="1">
      <c r="B278" s="39"/>
      <c r="E278" s="523"/>
      <c r="F278" s="523"/>
    </row>
    <row r="279" spans="2:6" s="8" customFormat="1">
      <c r="B279" s="39"/>
      <c r="E279" s="523"/>
      <c r="F279" s="523"/>
    </row>
    <row r="280" spans="2:6" s="8" customFormat="1">
      <c r="B280" s="39"/>
      <c r="E280" s="523"/>
      <c r="F280" s="523"/>
    </row>
    <row r="281" spans="2:6" s="8" customFormat="1">
      <c r="B281" s="39"/>
      <c r="E281" s="523"/>
      <c r="F281" s="523"/>
    </row>
    <row r="282" spans="2:6" s="8" customFormat="1">
      <c r="B282" s="39"/>
      <c r="E282" s="523"/>
      <c r="F282" s="523"/>
    </row>
    <row r="283" spans="2:6" s="8" customFormat="1">
      <c r="B283" s="39"/>
      <c r="E283" s="523"/>
      <c r="F283" s="523"/>
    </row>
    <row r="284" spans="2:6" s="8" customFormat="1">
      <c r="B284" s="39"/>
      <c r="E284" s="523"/>
      <c r="F284" s="523"/>
    </row>
    <row r="285" spans="2:6" s="8" customFormat="1">
      <c r="B285" s="39"/>
      <c r="E285" s="523"/>
      <c r="F285" s="523"/>
    </row>
    <row r="286" spans="2:6" s="8" customFormat="1">
      <c r="B286" s="39"/>
      <c r="E286" s="523"/>
      <c r="F286" s="523"/>
    </row>
    <row r="287" spans="2:6" s="8" customFormat="1">
      <c r="B287" s="39"/>
      <c r="E287" s="523"/>
      <c r="F287" s="523"/>
    </row>
    <row r="288" spans="2:6" s="8" customFormat="1">
      <c r="B288" s="39"/>
      <c r="E288" s="523"/>
      <c r="F288" s="523"/>
    </row>
    <row r="289" spans="2:6" s="8" customFormat="1">
      <c r="B289" s="39"/>
      <c r="E289" s="523"/>
      <c r="F289" s="523"/>
    </row>
    <row r="290" spans="2:6" s="8" customFormat="1">
      <c r="B290" s="39"/>
      <c r="E290" s="523"/>
      <c r="F290" s="523"/>
    </row>
    <row r="291" spans="2:6" s="8" customFormat="1">
      <c r="B291" s="39"/>
      <c r="E291" s="523"/>
      <c r="F291" s="523"/>
    </row>
    <row r="292" spans="2:6" s="8" customFormat="1">
      <c r="B292" s="39"/>
      <c r="E292" s="523"/>
      <c r="F292" s="523"/>
    </row>
    <row r="293" spans="2:6" s="8" customFormat="1">
      <c r="B293" s="39"/>
      <c r="E293" s="523"/>
      <c r="F293" s="523"/>
    </row>
    <row r="294" spans="2:6" s="8" customFormat="1">
      <c r="B294" s="39"/>
      <c r="E294" s="523"/>
      <c r="F294" s="523"/>
    </row>
    <row r="295" spans="2:6" s="8" customFormat="1">
      <c r="B295" s="39"/>
      <c r="E295" s="523"/>
      <c r="F295" s="523"/>
    </row>
    <row r="296" spans="2:6" s="8" customFormat="1">
      <c r="B296" s="39"/>
      <c r="E296" s="523"/>
      <c r="F296" s="523"/>
    </row>
    <row r="297" spans="2:6" s="8" customFormat="1">
      <c r="B297" s="39"/>
      <c r="E297" s="523"/>
      <c r="F297" s="523"/>
    </row>
    <row r="298" spans="2:6" s="8" customFormat="1">
      <c r="B298" s="39"/>
      <c r="E298" s="523"/>
      <c r="F298" s="523"/>
    </row>
    <row r="299" spans="2:6" s="8" customFormat="1">
      <c r="B299" s="39"/>
      <c r="E299" s="523"/>
      <c r="F299" s="523"/>
    </row>
    <row r="300" spans="2:6" s="8" customFormat="1">
      <c r="B300" s="39"/>
      <c r="E300" s="523"/>
      <c r="F300" s="523"/>
    </row>
    <row r="301" spans="2:6" s="8" customFormat="1">
      <c r="B301" s="39"/>
      <c r="E301" s="523"/>
      <c r="F301" s="523"/>
    </row>
    <row r="302" spans="2:6" s="8" customFormat="1">
      <c r="B302" s="39"/>
      <c r="E302" s="523"/>
      <c r="F302" s="523"/>
    </row>
    <row r="303" spans="2:6" s="8" customFormat="1">
      <c r="B303" s="39"/>
      <c r="E303" s="523"/>
      <c r="F303" s="523"/>
    </row>
    <row r="304" spans="2:6" s="8" customFormat="1">
      <c r="B304" s="39"/>
      <c r="E304" s="523"/>
      <c r="F304" s="523"/>
    </row>
    <row r="305" spans="2:6" s="8" customFormat="1">
      <c r="B305" s="39"/>
      <c r="E305" s="523"/>
      <c r="F305" s="523"/>
    </row>
    <row r="306" spans="2:6" s="8" customFormat="1">
      <c r="B306" s="39"/>
      <c r="E306" s="523"/>
      <c r="F306" s="523"/>
    </row>
    <row r="307" spans="2:6" s="8" customFormat="1">
      <c r="B307" s="39"/>
      <c r="E307" s="523"/>
      <c r="F307" s="523"/>
    </row>
    <row r="308" spans="2:6" s="8" customFormat="1">
      <c r="B308" s="39"/>
      <c r="E308" s="523"/>
      <c r="F308" s="523"/>
    </row>
    <row r="309" spans="2:6" s="8" customFormat="1">
      <c r="B309" s="39"/>
      <c r="E309" s="523"/>
      <c r="F309" s="523"/>
    </row>
    <row r="310" spans="2:6" s="8" customFormat="1">
      <c r="B310" s="39"/>
      <c r="E310" s="523"/>
      <c r="F310" s="523"/>
    </row>
    <row r="311" spans="2:6" s="8" customFormat="1">
      <c r="B311" s="39"/>
      <c r="E311" s="523"/>
      <c r="F311" s="523"/>
    </row>
    <row r="312" spans="2:6" s="8" customFormat="1">
      <c r="B312" s="39"/>
      <c r="E312" s="523"/>
      <c r="F312" s="523"/>
    </row>
    <row r="313" spans="2:6" s="8" customFormat="1">
      <c r="B313" s="39"/>
      <c r="E313" s="523"/>
      <c r="F313" s="523"/>
    </row>
    <row r="314" spans="2:6" s="8" customFormat="1">
      <c r="B314" s="39"/>
      <c r="E314" s="523"/>
      <c r="F314" s="523"/>
    </row>
    <row r="315" spans="2:6" s="8" customFormat="1">
      <c r="B315" s="39"/>
      <c r="E315" s="523"/>
      <c r="F315" s="523"/>
    </row>
    <row r="316" spans="2:6" s="8" customFormat="1">
      <c r="B316" s="39"/>
      <c r="E316" s="523"/>
      <c r="F316" s="523"/>
    </row>
    <row r="317" spans="2:6" s="8" customFormat="1">
      <c r="B317" s="39"/>
      <c r="E317" s="523"/>
      <c r="F317" s="523"/>
    </row>
    <row r="318" spans="2:6" s="8" customFormat="1">
      <c r="B318" s="39"/>
      <c r="E318" s="523"/>
      <c r="F318" s="523"/>
    </row>
    <row r="319" spans="2:6" s="8" customFormat="1">
      <c r="B319" s="39"/>
      <c r="E319" s="523"/>
      <c r="F319" s="523"/>
    </row>
    <row r="320" spans="2:6" s="8" customFormat="1">
      <c r="B320" s="39"/>
      <c r="E320" s="523"/>
      <c r="F320" s="523"/>
    </row>
    <row r="321" spans="2:6" s="8" customFormat="1">
      <c r="B321" s="39"/>
      <c r="E321" s="523"/>
      <c r="F321" s="523"/>
    </row>
    <row r="322" spans="2:6" s="8" customFormat="1">
      <c r="B322" s="39"/>
      <c r="E322" s="523"/>
      <c r="F322" s="523"/>
    </row>
    <row r="323" spans="2:6" s="8" customFormat="1">
      <c r="B323" s="39"/>
      <c r="E323" s="523"/>
      <c r="F323" s="523"/>
    </row>
    <row r="324" spans="2:6" s="8" customFormat="1">
      <c r="B324" s="39"/>
      <c r="E324" s="523"/>
      <c r="F324" s="523"/>
    </row>
    <row r="325" spans="2:6" s="8" customFormat="1">
      <c r="B325" s="39"/>
      <c r="E325" s="523"/>
      <c r="F325" s="523"/>
    </row>
    <row r="326" spans="2:6" s="8" customFormat="1">
      <c r="B326" s="39"/>
      <c r="E326" s="523"/>
      <c r="F326" s="523"/>
    </row>
    <row r="327" spans="2:6" s="8" customFormat="1">
      <c r="B327" s="39"/>
      <c r="E327" s="523"/>
      <c r="F327" s="523"/>
    </row>
    <row r="328" spans="2:6" s="8" customFormat="1">
      <c r="B328" s="39"/>
      <c r="E328" s="523"/>
      <c r="F328" s="523"/>
    </row>
    <row r="329" spans="2:6" s="8" customFormat="1">
      <c r="B329" s="39"/>
      <c r="E329" s="523"/>
      <c r="F329" s="523"/>
    </row>
    <row r="330" spans="2:6" s="8" customFormat="1">
      <c r="B330" s="39"/>
      <c r="E330" s="523"/>
      <c r="F330" s="523"/>
    </row>
    <row r="331" spans="2:6" s="8" customFormat="1">
      <c r="B331" s="39"/>
      <c r="E331" s="523"/>
      <c r="F331" s="523"/>
    </row>
    <row r="332" spans="2:6" s="8" customFormat="1">
      <c r="B332" s="39"/>
      <c r="E332" s="523"/>
      <c r="F332" s="523"/>
    </row>
    <row r="333" spans="2:6" s="8" customFormat="1">
      <c r="B333" s="39"/>
      <c r="E333" s="523"/>
      <c r="F333" s="523"/>
    </row>
    <row r="334" spans="2:6" s="8" customFormat="1">
      <c r="B334" s="39"/>
      <c r="E334" s="523"/>
      <c r="F334" s="523"/>
    </row>
    <row r="335" spans="2:6" s="8" customFormat="1">
      <c r="B335" s="39"/>
      <c r="E335" s="523"/>
      <c r="F335" s="523"/>
    </row>
    <row r="336" spans="2:6" s="8" customFormat="1">
      <c r="B336" s="39"/>
      <c r="E336" s="523"/>
      <c r="F336" s="523"/>
    </row>
    <row r="337" spans="2:6" s="8" customFormat="1">
      <c r="B337" s="39"/>
      <c r="E337" s="523"/>
      <c r="F337" s="523"/>
    </row>
    <row r="338" spans="2:6" s="8" customFormat="1">
      <c r="B338" s="39"/>
      <c r="E338" s="523"/>
      <c r="F338" s="523"/>
    </row>
    <row r="339" spans="2:6" s="8" customFormat="1">
      <c r="B339" s="39"/>
      <c r="E339" s="523"/>
      <c r="F339" s="523"/>
    </row>
    <row r="340" spans="2:6" s="8" customFormat="1">
      <c r="B340" s="39"/>
      <c r="C340" s="6"/>
      <c r="D340" s="6"/>
      <c r="E340" s="523"/>
      <c r="F340" s="523"/>
    </row>
  </sheetData>
  <sheetProtection password="EFA0" sheet="1" objects="1" scenarios="1" formatCells="0" formatColumns="0"/>
  <mergeCells count="7">
    <mergeCell ref="A11:C11"/>
    <mergeCell ref="A25:C25"/>
    <mergeCell ref="A1:D1"/>
    <mergeCell ref="D4:D5"/>
    <mergeCell ref="B4:B5"/>
    <mergeCell ref="C4:C5"/>
    <mergeCell ref="A2:D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7" orientation="portrait" horizontalDpi="4294967295" verticalDpi="4294967295"/>
  <headerFooter alignWithMargins="0">
    <oddHeader>&amp;A</oddHeader>
    <oddFooter>&amp;Limprimé le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5" enableFormatConditionsCalculation="0">
    <tabColor theme="8" tint="0.39997558519241921"/>
  </sheetPr>
  <dimension ref="A1:L59"/>
  <sheetViews>
    <sheetView showGridLines="0" topLeftCell="A7" zoomScale="75" zoomScaleNormal="75" workbookViewId="0">
      <selection activeCell="I35" sqref="I35"/>
    </sheetView>
  </sheetViews>
  <sheetFormatPr baseColWidth="10" defaultRowHeight="15.75"/>
  <cols>
    <col min="1" max="1" width="50.140625" style="10" customWidth="1"/>
    <col min="2" max="2" width="3.85546875" style="10" customWidth="1"/>
    <col min="3" max="3" width="14.42578125" style="50" customWidth="1"/>
    <col min="4" max="4" width="1.42578125" style="50" customWidth="1"/>
    <col min="5" max="5" width="11.42578125" style="10"/>
    <col min="6" max="6" width="1.85546875" style="10" customWidth="1"/>
    <col min="7" max="7" width="11.42578125" style="10"/>
    <col min="8" max="8" width="1.85546875" style="10" customWidth="1"/>
    <col min="9" max="9" width="11.42578125" style="10"/>
    <col min="10" max="10" width="11.85546875" style="10" customWidth="1"/>
    <col min="11" max="16384" width="11.42578125" style="10"/>
  </cols>
  <sheetData>
    <row r="1" spans="1:12" ht="20.25" customHeight="1" thickBot="1">
      <c r="A1" s="826" t="s">
        <v>23</v>
      </c>
      <c r="B1" s="827"/>
      <c r="C1" s="828"/>
      <c r="D1"/>
      <c r="E1" s="57"/>
    </row>
    <row r="2" spans="1:12" ht="15" customHeight="1">
      <c r="A2" s="832" t="s">
        <v>236</v>
      </c>
      <c r="B2" s="832"/>
      <c r="C2" s="832"/>
      <c r="D2" s="234"/>
      <c r="E2" s="57"/>
    </row>
    <row r="3" spans="1:12" ht="18" customHeight="1">
      <c r="A3" s="829" t="s">
        <v>240</v>
      </c>
      <c r="B3" s="830"/>
      <c r="C3" s="831"/>
      <c r="D3"/>
      <c r="E3" s="387" t="s">
        <v>65</v>
      </c>
      <c r="F3" s="462"/>
      <c r="G3" s="387" t="s">
        <v>51</v>
      </c>
      <c r="H3"/>
      <c r="I3"/>
      <c r="J3"/>
      <c r="K3"/>
    </row>
    <row r="4" spans="1:12" s="11" customFormat="1" ht="7.5" customHeight="1">
      <c r="A4" s="76"/>
      <c r="B4" s="76"/>
      <c r="C4" s="59"/>
      <c r="D4" s="59"/>
      <c r="E4"/>
      <c r="I4"/>
      <c r="J4"/>
      <c r="K4"/>
    </row>
    <row r="5" spans="1:12" s="11" customFormat="1" ht="18" customHeight="1">
      <c r="A5" s="63" t="s">
        <v>25</v>
      </c>
      <c r="B5" s="54"/>
      <c r="C5" s="62">
        <f>'3.0 Compte de résultat'!D10</f>
        <v>0</v>
      </c>
      <c r="D5" s="237" t="s">
        <v>0</v>
      </c>
      <c r="E5" s="62">
        <f>'3.0 Compte de résultat'!E10</f>
        <v>0</v>
      </c>
      <c r="F5" s="235"/>
      <c r="G5" s="62">
        <f>'3.0 Compte de résultat'!F10</f>
        <v>0</v>
      </c>
      <c r="H5" s="235"/>
      <c r="I5"/>
      <c r="J5"/>
      <c r="K5"/>
      <c r="L5"/>
    </row>
    <row r="6" spans="1:12" s="11" customFormat="1" ht="7.5" customHeight="1">
      <c r="A6" s="54"/>
      <c r="B6" s="54"/>
      <c r="C6" s="59"/>
      <c r="D6" s="59"/>
      <c r="E6" s="59"/>
      <c r="G6" s="59"/>
      <c r="I6"/>
      <c r="J6"/>
      <c r="K6"/>
    </row>
    <row r="7" spans="1:12" s="11" customFormat="1" ht="18" customHeight="1">
      <c r="A7" s="63" t="s">
        <v>237</v>
      </c>
      <c r="B7" s="54"/>
      <c r="C7" s="62">
        <f>C5*(100%+'3,6 ca mini'!L19)</f>
        <v>0</v>
      </c>
      <c r="D7" s="237"/>
      <c r="E7" s="62">
        <f>E5*(100%+'3,6 ca mini'!L19)</f>
        <v>0</v>
      </c>
      <c r="G7" s="62">
        <f>G5*(100%+'3,6 ca mini'!L19)</f>
        <v>0</v>
      </c>
      <c r="I7"/>
      <c r="J7"/>
      <c r="K7"/>
    </row>
    <row r="8" spans="1:12" s="11" customFormat="1" ht="7.5" customHeight="1">
      <c r="A8" s="64"/>
      <c r="B8" s="64"/>
      <c r="C8" s="59"/>
      <c r="D8" s="59"/>
      <c r="E8" s="59"/>
      <c r="G8" s="59"/>
      <c r="I8"/>
      <c r="J8"/>
      <c r="K8"/>
    </row>
    <row r="9" spans="1:12" s="11" customFormat="1" ht="18" customHeight="1">
      <c r="A9" s="65" t="s">
        <v>26</v>
      </c>
      <c r="B9" s="64"/>
      <c r="C9" s="558">
        <v>0</v>
      </c>
      <c r="D9" s="559"/>
      <c r="E9" s="560">
        <v>0</v>
      </c>
      <c r="F9" s="559"/>
      <c r="G9" s="561">
        <v>0</v>
      </c>
      <c r="I9"/>
      <c r="J9"/>
      <c r="K9"/>
    </row>
    <row r="10" spans="1:12" s="11" customFormat="1" ht="7.5" customHeight="1">
      <c r="A10" s="64"/>
      <c r="B10" s="64"/>
      <c r="C10" s="59"/>
      <c r="D10" s="59"/>
      <c r="E10" s="59"/>
      <c r="G10" s="59"/>
      <c r="I10"/>
      <c r="J10"/>
      <c r="K10"/>
    </row>
    <row r="11" spans="1:12" s="11" customFormat="1" ht="18" customHeight="1">
      <c r="A11" s="66" t="s">
        <v>27</v>
      </c>
      <c r="B11" s="64"/>
      <c r="C11" s="62">
        <f>C7/365*C9</f>
        <v>0</v>
      </c>
      <c r="D11" s="237"/>
      <c r="E11" s="62">
        <f>E7/365*E9</f>
        <v>0</v>
      </c>
      <c r="G11" s="62">
        <f>G7/365*G9</f>
        <v>0</v>
      </c>
      <c r="I11"/>
      <c r="J11"/>
      <c r="K11"/>
    </row>
    <row r="12" spans="1:12" s="11" customFormat="1" ht="12" customHeight="1">
      <c r="A12" s="165" t="s">
        <v>238</v>
      </c>
      <c r="B12" s="64"/>
      <c r="C12" s="73"/>
      <c r="D12" s="73"/>
      <c r="E12" s="73"/>
      <c r="G12" s="73"/>
    </row>
    <row r="13" spans="1:12" s="11" customFormat="1" ht="4.5" customHeight="1">
      <c r="A13" s="64"/>
      <c r="B13" s="64"/>
      <c r="C13" s="59"/>
      <c r="D13" s="59"/>
      <c r="E13" s="60"/>
    </row>
    <row r="14" spans="1:12" ht="18" customHeight="1">
      <c r="A14" s="829" t="s">
        <v>241</v>
      </c>
      <c r="B14" s="830"/>
      <c r="C14" s="831"/>
      <c r="D14"/>
      <c r="E14" s="57"/>
    </row>
    <row r="15" spans="1:12" ht="7.5" customHeight="1">
      <c r="A15" s="57"/>
      <c r="B15" s="57"/>
      <c r="C15" s="73"/>
      <c r="D15" s="73"/>
      <c r="E15" s="57"/>
    </row>
    <row r="16" spans="1:12" s="11" customFormat="1" ht="18" customHeight="1">
      <c r="A16" s="63" t="s">
        <v>25</v>
      </c>
      <c r="B16" s="54"/>
      <c r="C16" s="62">
        <f>C5</f>
        <v>0</v>
      </c>
      <c r="D16" s="237"/>
      <c r="E16" s="62">
        <f>E5</f>
        <v>0</v>
      </c>
      <c r="G16" s="62">
        <f>G5</f>
        <v>0</v>
      </c>
    </row>
    <row r="17" spans="1:11" ht="7.5" customHeight="1">
      <c r="A17" s="57"/>
      <c r="B17" s="57"/>
      <c r="C17" s="73"/>
      <c r="D17" s="238"/>
      <c r="E17" s="73"/>
      <c r="G17" s="73"/>
    </row>
    <row r="18" spans="1:11" s="11" customFormat="1" ht="18" customHeight="1">
      <c r="A18" s="63" t="s">
        <v>237</v>
      </c>
      <c r="B18" s="54"/>
      <c r="C18" s="62">
        <f>C7</f>
        <v>0</v>
      </c>
      <c r="D18" s="237"/>
      <c r="E18" s="62">
        <f>E7</f>
        <v>0</v>
      </c>
      <c r="G18" s="62">
        <f>G7</f>
        <v>0</v>
      </c>
    </row>
    <row r="19" spans="1:11" ht="7.5" customHeight="1">
      <c r="A19" s="64"/>
      <c r="B19" s="64"/>
      <c r="C19" s="58"/>
      <c r="D19" s="58"/>
      <c r="E19" s="58"/>
      <c r="G19" s="58"/>
    </row>
    <row r="20" spans="1:11" ht="18" customHeight="1">
      <c r="A20" s="74" t="s">
        <v>29</v>
      </c>
      <c r="B20" s="70"/>
      <c r="C20" s="243">
        <f>100%-'3,6 ca mini'!C9</f>
        <v>0</v>
      </c>
      <c r="D20" s="236"/>
      <c r="E20" s="243">
        <f>100%-'3,6 ca mini'!C9</f>
        <v>0</v>
      </c>
      <c r="G20" s="243">
        <f>100%-'3,6 ca mini'!C9</f>
        <v>0</v>
      </c>
    </row>
    <row r="21" spans="1:11" ht="7.5" customHeight="1">
      <c r="A21" s="64"/>
      <c r="B21" s="64"/>
      <c r="C21" s="58"/>
      <c r="D21" s="58"/>
      <c r="E21" s="58"/>
      <c r="G21" s="58"/>
    </row>
    <row r="22" spans="1:11" ht="18" customHeight="1">
      <c r="A22" s="66" t="s">
        <v>30</v>
      </c>
      <c r="B22" s="64"/>
      <c r="C22" s="62">
        <f>C18*C20</f>
        <v>0</v>
      </c>
      <c r="D22" s="237"/>
      <c r="E22" s="62">
        <f>E18*E20</f>
        <v>0</v>
      </c>
      <c r="G22" s="62">
        <f>G18*G20</f>
        <v>0</v>
      </c>
    </row>
    <row r="23" spans="1:11" ht="12" customHeight="1">
      <c r="A23" s="67" t="s">
        <v>239</v>
      </c>
      <c r="B23" s="64"/>
      <c r="C23" s="73"/>
      <c r="D23" s="238"/>
      <c r="E23" s="73"/>
      <c r="G23" s="73"/>
      <c r="I23"/>
      <c r="J23"/>
      <c r="K23"/>
    </row>
    <row r="24" spans="1:11" ht="7.5" customHeight="1">
      <c r="A24" s="64"/>
      <c r="B24" s="64"/>
      <c r="C24" s="58"/>
      <c r="D24" s="239"/>
      <c r="E24" s="58"/>
      <c r="G24" s="58"/>
      <c r="I24"/>
      <c r="J24"/>
      <c r="K24"/>
    </row>
    <row r="25" spans="1:11" ht="18" customHeight="1">
      <c r="A25" s="61" t="s">
        <v>31</v>
      </c>
      <c r="B25" s="71"/>
      <c r="C25" s="558">
        <v>0</v>
      </c>
      <c r="D25" s="559"/>
      <c r="E25" s="560">
        <v>0</v>
      </c>
      <c r="F25" s="559"/>
      <c r="G25" s="561">
        <v>0</v>
      </c>
      <c r="I25"/>
      <c r="J25"/>
      <c r="K25"/>
    </row>
    <row r="26" spans="1:11" ht="6" customHeight="1">
      <c r="A26" s="64"/>
      <c r="B26" s="64"/>
      <c r="C26" s="58" t="s">
        <v>0</v>
      </c>
      <c r="D26" s="239"/>
      <c r="E26" s="58" t="s">
        <v>0</v>
      </c>
      <c r="G26" s="58" t="s">
        <v>0</v>
      </c>
      <c r="I26"/>
      <c r="J26"/>
      <c r="K26"/>
    </row>
    <row r="27" spans="1:11" ht="18" customHeight="1">
      <c r="A27" s="66" t="s">
        <v>32</v>
      </c>
      <c r="B27" s="64"/>
      <c r="C27" s="62">
        <f>C22/365*C25</f>
        <v>0</v>
      </c>
      <c r="D27" s="237"/>
      <c r="E27" s="62">
        <f>E22/365*E25</f>
        <v>0</v>
      </c>
      <c r="G27" s="62">
        <f>G22/365*G25</f>
        <v>0</v>
      </c>
      <c r="I27"/>
      <c r="J27"/>
      <c r="K27"/>
    </row>
    <row r="28" spans="1:11" ht="12.75" customHeight="1">
      <c r="A28" s="165" t="s">
        <v>243</v>
      </c>
      <c r="B28" s="64"/>
      <c r="C28" s="73"/>
      <c r="D28" s="73"/>
      <c r="E28" s="57"/>
    </row>
    <row r="29" spans="1:11" ht="6" customHeight="1">
      <c r="A29" s="57"/>
      <c r="B29" s="57"/>
      <c r="C29" s="58"/>
      <c r="D29" s="58"/>
      <c r="E29" s="57"/>
    </row>
    <row r="30" spans="1:11" ht="18" customHeight="1">
      <c r="A30" s="829" t="s">
        <v>242</v>
      </c>
      <c r="B30" s="830"/>
      <c r="C30" s="831"/>
      <c r="D30"/>
      <c r="E30" s="57"/>
    </row>
    <row r="31" spans="1:11" ht="8.25" customHeight="1">
      <c r="A31" s="57"/>
      <c r="B31" s="57"/>
      <c r="C31" s="58"/>
      <c r="D31" s="58"/>
      <c r="E31" s="57"/>
    </row>
    <row r="32" spans="1:11" s="11" customFormat="1" ht="18" customHeight="1">
      <c r="A32" s="63" t="s">
        <v>25</v>
      </c>
      <c r="B32" s="54"/>
      <c r="C32" s="62">
        <f>C5</f>
        <v>0</v>
      </c>
      <c r="D32" s="237"/>
      <c r="E32" s="62">
        <f>E5</f>
        <v>0</v>
      </c>
      <c r="G32" s="62">
        <f>G5</f>
        <v>0</v>
      </c>
    </row>
    <row r="33" spans="1:7" ht="7.5" customHeight="1">
      <c r="A33" s="60"/>
      <c r="B33" s="57"/>
      <c r="C33" s="73"/>
      <c r="D33" s="238"/>
      <c r="E33" s="73"/>
      <c r="G33" s="73"/>
    </row>
    <row r="34" spans="1:7" ht="18" customHeight="1">
      <c r="A34" s="66" t="s">
        <v>34</v>
      </c>
      <c r="B34" s="54"/>
      <c r="C34" s="62">
        <f>C32*C20</f>
        <v>0</v>
      </c>
      <c r="D34" s="237"/>
      <c r="E34" s="62">
        <f>E32*E20</f>
        <v>0</v>
      </c>
      <c r="G34" s="62">
        <f>G32*G20</f>
        <v>0</v>
      </c>
    </row>
    <row r="35" spans="1:7" ht="14.25" customHeight="1">
      <c r="A35" s="67" t="s">
        <v>244</v>
      </c>
      <c r="B35" s="64"/>
      <c r="C35" s="73"/>
      <c r="D35" s="73"/>
      <c r="E35" s="73"/>
      <c r="G35" s="73"/>
    </row>
    <row r="36" spans="1:7" ht="7.5" customHeight="1">
      <c r="A36" s="64"/>
      <c r="B36" s="64"/>
      <c r="C36" s="73"/>
      <c r="D36" s="73"/>
      <c r="E36" s="73"/>
      <c r="G36" s="73"/>
    </row>
    <row r="37" spans="1:7" ht="19.5">
      <c r="A37" s="65" t="s">
        <v>35</v>
      </c>
      <c r="B37" s="54"/>
      <c r="C37" s="562">
        <v>0</v>
      </c>
      <c r="D37" s="563"/>
      <c r="E37" s="562">
        <v>0</v>
      </c>
      <c r="F37" s="564"/>
      <c r="G37" s="562">
        <v>0</v>
      </c>
    </row>
    <row r="38" spans="1:7" ht="5.25" customHeight="1">
      <c r="A38" s="64"/>
      <c r="B38" s="64"/>
      <c r="C38" s="58"/>
      <c r="D38" s="58"/>
      <c r="E38" s="58"/>
      <c r="G38" s="58"/>
    </row>
    <row r="39" spans="1:7" ht="19.5">
      <c r="A39" s="66" t="s">
        <v>36</v>
      </c>
      <c r="B39" s="64"/>
      <c r="C39" s="62">
        <f>C34/365*C37</f>
        <v>0</v>
      </c>
      <c r="D39" s="237"/>
      <c r="E39" s="62">
        <f>E34/365*E37</f>
        <v>0</v>
      </c>
      <c r="G39" s="62">
        <f>G34/365*G37</f>
        <v>0</v>
      </c>
    </row>
    <row r="40" spans="1:7" ht="7.5" customHeight="1">
      <c r="A40" s="165" t="s">
        <v>245</v>
      </c>
      <c r="B40" s="64"/>
      <c r="C40" s="73"/>
      <c r="D40" s="73"/>
      <c r="E40" s="57"/>
    </row>
    <row r="41" spans="1:7" ht="8.25" customHeight="1">
      <c r="A41" s="57"/>
      <c r="B41" s="57"/>
      <c r="C41" s="58"/>
      <c r="D41" s="58"/>
      <c r="E41" s="57"/>
    </row>
    <row r="42" spans="1:7" ht="19.5">
      <c r="A42" s="829" t="s">
        <v>37</v>
      </c>
      <c r="B42" s="830"/>
      <c r="C42" s="831"/>
      <c r="D42"/>
      <c r="E42" s="57"/>
    </row>
    <row r="43" spans="1:7" ht="6.75" customHeight="1">
      <c r="A43" s="71"/>
      <c r="B43" s="71"/>
      <c r="C43" s="58"/>
      <c r="D43" s="58"/>
      <c r="E43" s="57"/>
    </row>
    <row r="44" spans="1:7" ht="20.25" customHeight="1">
      <c r="A44" s="74" t="s">
        <v>33</v>
      </c>
      <c r="B44" s="64"/>
      <c r="C44" s="62">
        <f>C39</f>
        <v>0</v>
      </c>
      <c r="D44" s="237"/>
      <c r="E44" s="62">
        <f>E39</f>
        <v>0</v>
      </c>
      <c r="G44" s="62">
        <f>G39</f>
        <v>0</v>
      </c>
    </row>
    <row r="45" spans="1:7" ht="7.5" customHeight="1">
      <c r="A45" s="64"/>
      <c r="B45" s="64"/>
      <c r="C45"/>
      <c r="D45" s="239"/>
      <c r="E45"/>
      <c r="G45"/>
    </row>
    <row r="46" spans="1:7" ht="19.5">
      <c r="A46" s="63" t="s">
        <v>24</v>
      </c>
      <c r="B46" s="71"/>
      <c r="C46" s="62">
        <f>C11</f>
        <v>0</v>
      </c>
      <c r="D46" s="237"/>
      <c r="E46" s="62">
        <f>E11</f>
        <v>0</v>
      </c>
      <c r="G46" s="62">
        <f>G11</f>
        <v>0</v>
      </c>
    </row>
    <row r="47" spans="1:7" ht="7.5" customHeight="1">
      <c r="A47" s="64"/>
      <c r="B47" s="64"/>
      <c r="C47" s="58"/>
      <c r="D47" s="239"/>
      <c r="E47" s="58"/>
      <c r="G47" s="58"/>
    </row>
    <row r="48" spans="1:7" ht="19.5">
      <c r="A48" s="74" t="s">
        <v>28</v>
      </c>
      <c r="B48" s="64"/>
      <c r="C48" s="62">
        <f>C27</f>
        <v>0</v>
      </c>
      <c r="D48" s="237"/>
      <c r="E48" s="62">
        <f>E27</f>
        <v>0</v>
      </c>
      <c r="G48" s="62">
        <f>G27</f>
        <v>0</v>
      </c>
    </row>
    <row r="49" spans="1:7" ht="6.75" customHeight="1">
      <c r="A49" s="57"/>
      <c r="B49" s="57"/>
      <c r="C49" s="58"/>
      <c r="D49" s="239"/>
      <c r="E49" s="58"/>
      <c r="G49" s="58"/>
    </row>
    <row r="50" spans="1:7" ht="22.5">
      <c r="A50" s="241" t="s">
        <v>407</v>
      </c>
      <c r="B50" s="75"/>
      <c r="C50" s="242">
        <f>C44+C46-C48</f>
        <v>0</v>
      </c>
      <c r="D50" s="240"/>
      <c r="E50" s="242">
        <f>E44+E46-E48</f>
        <v>0</v>
      </c>
      <c r="G50" s="242">
        <f>G44+G46-G48</f>
        <v>0</v>
      </c>
    </row>
    <row r="51" spans="1:7" ht="11.25" customHeight="1" thickBot="1"/>
    <row r="52" spans="1:7" ht="20.25" thickBot="1">
      <c r="A52" s="826" t="s">
        <v>264</v>
      </c>
      <c r="B52" s="827"/>
      <c r="C52" s="828"/>
    </row>
    <row r="53" spans="1:7" ht="11.25" customHeight="1">
      <c r="A53" s="71"/>
      <c r="B53" s="71"/>
      <c r="C53" s="58"/>
    </row>
    <row r="54" spans="1:7" ht="19.5">
      <c r="A54" s="74" t="s">
        <v>265</v>
      </c>
      <c r="B54" s="64"/>
      <c r="C54" s="62">
        <f>C11-C27</f>
        <v>0</v>
      </c>
      <c r="F54"/>
    </row>
    <row r="55" spans="1:7" ht="10.5" customHeight="1">
      <c r="A55" s="75" t="s">
        <v>110</v>
      </c>
      <c r="B55" s="64"/>
      <c r="C55" s="288" t="s">
        <v>110</v>
      </c>
      <c r="F55"/>
    </row>
    <row r="56" spans="1:7" ht="19.5">
      <c r="A56" s="63" t="s">
        <v>21</v>
      </c>
      <c r="B56" s="71"/>
      <c r="C56" s="62">
        <f>'1.3 Ma trésorerie de départ'!D32</f>
        <v>0</v>
      </c>
      <c r="F56"/>
    </row>
    <row r="57" spans="1:7" ht="12.75" customHeight="1">
      <c r="A57" s="75" t="s">
        <v>109</v>
      </c>
      <c r="B57" s="64"/>
      <c r="C57" s="288" t="s">
        <v>109</v>
      </c>
      <c r="F57"/>
    </row>
    <row r="58" spans="1:7" ht="19.5">
      <c r="A58" s="289" t="s">
        <v>266</v>
      </c>
      <c r="B58" s="64"/>
      <c r="C58" s="62">
        <f>IF((C54-C56)&gt;0,C54-C56,0)</f>
        <v>0</v>
      </c>
      <c r="F58"/>
    </row>
    <row r="59" spans="1:7" ht="19.5">
      <c r="A59" s="57"/>
      <c r="B59" s="57"/>
      <c r="C59" s="58"/>
    </row>
  </sheetData>
  <sheetProtection password="F060" sheet="1"/>
  <mergeCells count="7">
    <mergeCell ref="A52:C52"/>
    <mergeCell ref="A42:C42"/>
    <mergeCell ref="A14:C14"/>
    <mergeCell ref="A1:C1"/>
    <mergeCell ref="A2:C2"/>
    <mergeCell ref="A3:C3"/>
    <mergeCell ref="A30:C30"/>
  </mergeCells>
  <phoneticPr fontId="0" type="noConversion"/>
  <printOptions horizontalCentered="1" verticalCentered="1"/>
  <pageMargins left="0.19685039370078741" right="0" top="0.11811023622047245" bottom="7.874015748031496E-2" header="0.11811023622047245" footer="7.874015748031496E-2"/>
  <pageSetup paperSize="9" orientation="portrait" horizontalDpi="4294967295"/>
  <headerFooter alignWithMargins="0">
    <oddHeader>&amp;R1.31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7" enableFormatConditionsCalculation="0">
    <tabColor indexed="20"/>
  </sheetPr>
  <dimension ref="A1:L90"/>
  <sheetViews>
    <sheetView zoomScaleNormal="100" workbookViewId="0">
      <selection activeCell="G6" sqref="G6:G11"/>
    </sheetView>
  </sheetViews>
  <sheetFormatPr baseColWidth="10" defaultRowHeight="16.5"/>
  <cols>
    <col min="1" max="1" width="7.42578125" style="14" customWidth="1"/>
    <col min="2" max="2" width="49.42578125" style="15" bestFit="1" customWidth="1"/>
    <col min="3" max="3" width="8.42578125" style="15" customWidth="1"/>
    <col min="4" max="4" width="13.140625" style="40" customWidth="1"/>
    <col min="5" max="6" width="13.7109375" style="40" customWidth="1"/>
    <col min="7" max="11" width="11.42578125" style="91"/>
    <col min="12" max="16384" width="11.42578125" style="14"/>
  </cols>
  <sheetData>
    <row r="1" spans="1:11" ht="23.25" thickBot="1">
      <c r="A1" s="91"/>
      <c r="B1" s="816" t="s">
        <v>48</v>
      </c>
      <c r="C1" s="817"/>
      <c r="D1" s="817"/>
      <c r="E1" s="817"/>
      <c r="F1" s="818"/>
    </row>
    <row r="2" spans="1:11" ht="22.5">
      <c r="A2" s="846" t="str">
        <f>'1.0 Plan de financement'!A3:C3</f>
        <v>NOM DOSSIER</v>
      </c>
      <c r="B2" s="846"/>
      <c r="C2" s="846"/>
      <c r="D2" s="450"/>
      <c r="E2" s="450"/>
      <c r="F2" s="450"/>
      <c r="H2" s="477" t="s">
        <v>452</v>
      </c>
      <c r="I2" s="478"/>
      <c r="J2" s="478"/>
    </row>
    <row r="3" spans="1:11" s="16" customFormat="1" ht="21.6" customHeight="1">
      <c r="A3" s="92"/>
      <c r="B3" s="302" t="s">
        <v>0</v>
      </c>
      <c r="C3" s="303"/>
      <c r="D3" s="304" t="s">
        <v>49</v>
      </c>
      <c r="E3" s="304" t="s">
        <v>50</v>
      </c>
      <c r="F3" s="304" t="s">
        <v>51</v>
      </c>
      <c r="G3" s="92"/>
      <c r="H3" s="304" t="s">
        <v>49</v>
      </c>
      <c r="I3" s="304" t="s">
        <v>50</v>
      </c>
      <c r="J3" s="304" t="s">
        <v>51</v>
      </c>
      <c r="K3" s="92"/>
    </row>
    <row r="4" spans="1:11" s="17" customFormat="1" ht="21.6" customHeight="1">
      <c r="A4" s="841" t="s">
        <v>52</v>
      </c>
      <c r="B4" s="520" t="s">
        <v>262</v>
      </c>
      <c r="C4" s="565"/>
      <c r="D4" s="566"/>
      <c r="E4" s="566"/>
      <c r="F4" s="566"/>
      <c r="G4" s="345"/>
      <c r="H4" s="476">
        <f>'3,6 ca mini'!C11</f>
        <v>0</v>
      </c>
      <c r="I4" s="476">
        <f>'3,6 ca mini'!E11</f>
        <v>0</v>
      </c>
      <c r="J4" s="476">
        <f>'3,6 ca mini'!G11</f>
        <v>0</v>
      </c>
      <c r="K4" s="345"/>
    </row>
    <row r="5" spans="1:11" s="17" customFormat="1" ht="21.6" customHeight="1">
      <c r="A5" s="842"/>
      <c r="B5" s="520"/>
      <c r="C5" s="565"/>
      <c r="D5" s="566"/>
      <c r="E5" s="566"/>
      <c r="F5" s="566"/>
      <c r="G5" s="345"/>
      <c r="H5" s="345"/>
      <c r="I5" s="345"/>
      <c r="J5" s="345"/>
      <c r="K5" s="345"/>
    </row>
    <row r="6" spans="1:11" s="17" customFormat="1" ht="21.6" customHeight="1">
      <c r="A6" s="842"/>
      <c r="B6" s="520"/>
      <c r="C6" s="565"/>
      <c r="D6" s="566"/>
      <c r="E6" s="566"/>
      <c r="F6" s="566"/>
      <c r="G6" s="345"/>
      <c r="H6" s="345"/>
      <c r="I6" s="345"/>
      <c r="J6" s="345"/>
      <c r="K6" s="345"/>
    </row>
    <row r="7" spans="1:11" s="17" customFormat="1" ht="21.6" customHeight="1">
      <c r="A7" s="842"/>
      <c r="B7" s="520" t="s">
        <v>0</v>
      </c>
      <c r="C7" s="565"/>
      <c r="D7" s="566" t="s">
        <v>0</v>
      </c>
      <c r="E7" s="566"/>
      <c r="F7" s="566"/>
      <c r="G7" s="345"/>
      <c r="H7" s="345"/>
      <c r="I7" s="345"/>
      <c r="J7" s="345"/>
      <c r="K7" s="345"/>
    </row>
    <row r="8" spans="1:11" s="18" customFormat="1" ht="21.6" customHeight="1">
      <c r="A8" s="842"/>
      <c r="B8" s="567" t="s">
        <v>0</v>
      </c>
      <c r="C8" s="568"/>
      <c r="D8" s="569" t="s">
        <v>0</v>
      </c>
      <c r="E8" s="569"/>
      <c r="F8" s="569"/>
      <c r="G8" s="346"/>
      <c r="H8" s="346"/>
      <c r="I8" s="346"/>
      <c r="J8" s="346"/>
      <c r="K8" s="346"/>
    </row>
    <row r="9" spans="1:11" s="18" customFormat="1" ht="21.6" customHeight="1">
      <c r="A9" s="842"/>
      <c r="B9" s="567" t="s">
        <v>0</v>
      </c>
      <c r="C9" s="568"/>
      <c r="D9" s="569"/>
      <c r="E9" s="569"/>
      <c r="F9" s="569"/>
      <c r="G9" s="346"/>
      <c r="H9" s="346"/>
      <c r="I9" s="346"/>
      <c r="J9" s="346"/>
      <c r="K9" s="346"/>
    </row>
    <row r="10" spans="1:11" s="19" customFormat="1" ht="21.6" customHeight="1">
      <c r="A10" s="788" t="s">
        <v>283</v>
      </c>
      <c r="B10" s="789"/>
      <c r="C10" s="98"/>
      <c r="D10" s="88">
        <f>SUM(D4:D9)</f>
        <v>0</v>
      </c>
      <c r="E10" s="88">
        <f>SUM(E4:E9)</f>
        <v>0</v>
      </c>
      <c r="F10" s="88">
        <f>SUM(F4:F9)</f>
        <v>0</v>
      </c>
      <c r="G10" s="347"/>
      <c r="H10" s="347"/>
      <c r="I10" s="347"/>
      <c r="J10" s="347"/>
      <c r="K10" s="347"/>
    </row>
    <row r="11" spans="1:11" s="17" customFormat="1" ht="21.6" customHeight="1">
      <c r="A11" s="843" t="s">
        <v>53</v>
      </c>
      <c r="B11" s="520" t="s">
        <v>495</v>
      </c>
      <c r="C11" s="570"/>
      <c r="D11" s="100">
        <f>D10*C11</f>
        <v>0</v>
      </c>
      <c r="E11" s="100">
        <f>E4*C11</f>
        <v>0</v>
      </c>
      <c r="F11" s="100">
        <f>F4*C11</f>
        <v>0</v>
      </c>
      <c r="G11" s="345"/>
      <c r="H11" s="345"/>
      <c r="I11" s="345"/>
      <c r="J11" s="345"/>
      <c r="K11" s="345"/>
    </row>
    <row r="12" spans="1:11" s="17" customFormat="1" ht="21.6" customHeight="1">
      <c r="A12" s="844"/>
      <c r="B12" s="95"/>
      <c r="C12" s="99"/>
      <c r="D12" s="266"/>
      <c r="E12" s="266"/>
      <c r="F12" s="266"/>
      <c r="G12" s="345"/>
      <c r="H12" s="345"/>
      <c r="I12" s="345"/>
      <c r="J12" s="345"/>
      <c r="K12" s="345"/>
    </row>
    <row r="13" spans="1:11" s="17" customFormat="1" ht="21.6" customHeight="1">
      <c r="A13" s="844"/>
      <c r="B13" s="84"/>
      <c r="C13" s="102"/>
      <c r="D13" s="103"/>
      <c r="E13" s="97"/>
      <c r="F13" s="103"/>
      <c r="G13" s="345"/>
      <c r="H13" s="345"/>
      <c r="I13" s="345"/>
      <c r="J13" s="345"/>
      <c r="K13" s="345"/>
    </row>
    <row r="14" spans="1:11" s="17" customFormat="1" ht="21.6" customHeight="1">
      <c r="A14" s="844"/>
      <c r="B14" s="95" t="s">
        <v>54</v>
      </c>
      <c r="C14" s="96"/>
      <c r="D14" s="100">
        <f>'3.1 Détails charges fixes'!C12</f>
        <v>0</v>
      </c>
      <c r="E14" s="375">
        <f>'3.1 Détails charges fixes'!D12</f>
        <v>0</v>
      </c>
      <c r="F14" s="100">
        <f>'3.1 Détails charges fixes'!E12</f>
        <v>0</v>
      </c>
      <c r="G14" s="345"/>
      <c r="H14" s="345"/>
      <c r="I14" s="345"/>
      <c r="J14" s="345"/>
      <c r="K14" s="345"/>
    </row>
    <row r="15" spans="1:11" s="17" customFormat="1" ht="21.6" customHeight="1">
      <c r="A15" s="844"/>
      <c r="B15" s="95" t="s">
        <v>171</v>
      </c>
      <c r="C15" s="96"/>
      <c r="D15" s="100">
        <f>'3.1 Détails charges fixes'!C24</f>
        <v>0</v>
      </c>
      <c r="E15" s="100">
        <f>'3.1 Détails charges fixes'!D24</f>
        <v>0</v>
      </c>
      <c r="F15" s="100">
        <f>'3.1 Détails charges fixes'!E24</f>
        <v>0</v>
      </c>
      <c r="G15" s="345"/>
      <c r="H15" s="345"/>
      <c r="I15" s="345"/>
      <c r="J15" s="345"/>
      <c r="K15" s="345"/>
    </row>
    <row r="16" spans="1:11" ht="21.6" customHeight="1">
      <c r="A16" s="844"/>
      <c r="B16" s="104" t="s">
        <v>55</v>
      </c>
      <c r="C16" s="105"/>
      <c r="D16" s="100">
        <f>'3.1 Détails charges fixes'!C39</f>
        <v>0</v>
      </c>
      <c r="E16" s="100">
        <f>'3.1 Détails charges fixes'!D39</f>
        <v>0</v>
      </c>
      <c r="F16" s="100">
        <f>'3.1 Détails charges fixes'!E39</f>
        <v>0</v>
      </c>
    </row>
    <row r="17" spans="1:12" s="20" customFormat="1" ht="21.6" customHeight="1">
      <c r="A17" s="844"/>
      <c r="B17" s="95" t="s">
        <v>56</v>
      </c>
      <c r="C17" s="96"/>
      <c r="D17" s="100">
        <f>'3.1 Détails charges fixes'!C50</f>
        <v>0</v>
      </c>
      <c r="E17" s="100">
        <f>'3.1 Détails charges fixes'!D50</f>
        <v>0</v>
      </c>
      <c r="F17" s="100">
        <f>'3.1 Détails charges fixes'!E50</f>
        <v>0</v>
      </c>
      <c r="G17" s="53"/>
      <c r="H17" s="53"/>
      <c r="I17" s="53"/>
      <c r="J17" s="53"/>
      <c r="K17" s="53"/>
    </row>
    <row r="18" spans="1:12" s="20" customFormat="1" ht="21.6" customHeight="1">
      <c r="A18" s="844"/>
      <c r="B18" s="95" t="s">
        <v>57</v>
      </c>
      <c r="C18" s="96"/>
      <c r="D18" s="100">
        <f>'3.1 Détails charges fixes'!C54</f>
        <v>0</v>
      </c>
      <c r="E18" s="100">
        <f>'3.1 Détails charges fixes'!D55</f>
        <v>0</v>
      </c>
      <c r="F18" s="100">
        <f>'3.1 Détails charges fixes'!E55</f>
        <v>0</v>
      </c>
      <c r="G18" s="53"/>
      <c r="H18" s="53"/>
      <c r="I18" s="53"/>
      <c r="J18" s="53"/>
      <c r="K18" s="53"/>
    </row>
    <row r="19" spans="1:12" s="20" customFormat="1" ht="21.6" customHeight="1">
      <c r="A19" s="844"/>
      <c r="B19" s="95" t="s">
        <v>58</v>
      </c>
      <c r="C19" s="96"/>
      <c r="D19" s="100">
        <f>'3.1 Détails charges fixes'!C61</f>
        <v>0</v>
      </c>
      <c r="E19" s="100">
        <f>'3.1 Détails charges fixes'!D61</f>
        <v>0</v>
      </c>
      <c r="F19" s="100">
        <f>'3.1 Détails charges fixes'!E61</f>
        <v>0</v>
      </c>
      <c r="G19" s="53"/>
      <c r="H19" s="53"/>
      <c r="I19" s="53"/>
      <c r="J19" s="53"/>
      <c r="K19" s="53"/>
    </row>
    <row r="20" spans="1:12" s="21" customFormat="1" ht="21.6" customHeight="1">
      <c r="A20" s="844"/>
      <c r="B20" s="95" t="s">
        <v>59</v>
      </c>
      <c r="C20" s="96"/>
      <c r="D20" s="100">
        <f>'3.1 Détails charges fixes'!C65</f>
        <v>0</v>
      </c>
      <c r="E20" s="100">
        <f>'3.1 Détails charges fixes'!D65</f>
        <v>0</v>
      </c>
      <c r="F20" s="100">
        <f>'3.1 Détails charges fixes'!E65</f>
        <v>0</v>
      </c>
      <c r="G20" s="324"/>
      <c r="H20" s="324"/>
      <c r="I20" s="324"/>
      <c r="J20" s="324"/>
      <c r="K20" s="324"/>
    </row>
    <row r="21" spans="1:12" ht="21.6" customHeight="1">
      <c r="A21" s="845"/>
      <c r="B21" s="95" t="s">
        <v>60</v>
      </c>
      <c r="C21" s="96"/>
      <c r="D21" s="100">
        <f>'3.1 Détails charges fixes'!C70</f>
        <v>0</v>
      </c>
      <c r="E21" s="100">
        <f>'3.1 Détails charges fixes'!D70</f>
        <v>0</v>
      </c>
      <c r="F21" s="100">
        <f>'3.1 Détails charges fixes'!E70</f>
        <v>0</v>
      </c>
    </row>
    <row r="22" spans="1:12" s="22" customFormat="1" ht="21.6" customHeight="1" thickBot="1">
      <c r="A22" s="833" t="s">
        <v>282</v>
      </c>
      <c r="B22" s="834"/>
      <c r="C22" s="106"/>
      <c r="D22" s="107">
        <f>SUM(D11:D21)</f>
        <v>0</v>
      </c>
      <c r="E22" s="107">
        <f>SUM(E11:E21)</f>
        <v>0</v>
      </c>
      <c r="F22" s="107">
        <f>SUM(F11:F21)</f>
        <v>0</v>
      </c>
      <c r="G22" s="324"/>
      <c r="H22" s="324"/>
      <c r="I22" s="324"/>
      <c r="J22" s="324"/>
      <c r="K22" s="324"/>
    </row>
    <row r="23" spans="1:12" s="23" customFormat="1" ht="21.6" customHeight="1" thickBot="1">
      <c r="A23" s="835" t="s">
        <v>281</v>
      </c>
      <c r="B23" s="836"/>
      <c r="C23" s="108"/>
      <c r="D23" s="109">
        <f>D10-D22</f>
        <v>0</v>
      </c>
      <c r="E23" s="109">
        <f>E10-E22</f>
        <v>0</v>
      </c>
      <c r="F23" s="110">
        <f>F10-F22</f>
        <v>0</v>
      </c>
      <c r="G23" s="348"/>
      <c r="H23" s="348"/>
      <c r="I23" s="348"/>
      <c r="J23" s="348"/>
      <c r="K23" s="348"/>
    </row>
    <row r="24" spans="1:12" ht="21.6" customHeight="1">
      <c r="A24" s="837" t="s">
        <v>61</v>
      </c>
      <c r="B24" s="102" t="s">
        <v>62</v>
      </c>
      <c r="C24" s="102"/>
      <c r="D24" s="103">
        <v>0</v>
      </c>
      <c r="E24" s="103"/>
      <c r="F24" s="103"/>
    </row>
    <row r="25" spans="1:12" ht="21.6" customHeight="1">
      <c r="A25" s="837"/>
      <c r="B25" s="93" t="s">
        <v>284</v>
      </c>
      <c r="C25" s="93"/>
      <c r="D25" s="100">
        <f>'3.1 Détails charges fixes'!C72</f>
        <v>0</v>
      </c>
      <c r="E25" s="100">
        <f>'3.1 Détails charges fixes'!D72</f>
        <v>0</v>
      </c>
      <c r="F25" s="100">
        <f>'3.1 Détails charges fixes'!E72</f>
        <v>0</v>
      </c>
    </row>
    <row r="26" spans="1:12" ht="21.6" customHeight="1">
      <c r="A26" s="838"/>
      <c r="B26" s="93" t="s">
        <v>285</v>
      </c>
      <c r="C26" s="93"/>
      <c r="D26" s="100">
        <f>'3.1 Détails charges fixes'!C73</f>
        <v>0</v>
      </c>
      <c r="E26" s="94"/>
      <c r="F26" s="94"/>
    </row>
    <row r="27" spans="1:12" ht="21.6" customHeight="1">
      <c r="A27" s="838"/>
      <c r="B27" s="111" t="s">
        <v>0</v>
      </c>
      <c r="C27" s="111"/>
      <c r="D27" s="112" t="s">
        <v>0</v>
      </c>
      <c r="E27" s="112"/>
      <c r="F27" s="112"/>
    </row>
    <row r="28" spans="1:12" ht="21.6" customHeight="1">
      <c r="A28" s="838"/>
      <c r="B28" s="93" t="s">
        <v>63</v>
      </c>
      <c r="C28" s="93"/>
      <c r="D28" s="94">
        <v>0</v>
      </c>
      <c r="E28" s="94"/>
      <c r="F28" s="94"/>
    </row>
    <row r="29" spans="1:12" ht="21.6" customHeight="1">
      <c r="A29" s="838"/>
      <c r="B29" s="113" t="s">
        <v>64</v>
      </c>
      <c r="C29" s="113"/>
      <c r="D29" s="323">
        <f>'3.1 Détails charges fixes'!C76</f>
        <v>0</v>
      </c>
      <c r="E29" s="323">
        <f>'3.1 Détails charges fixes'!D77</f>
        <v>0</v>
      </c>
      <c r="F29" s="323">
        <f>'3.1 Détails charges fixes'!E77</f>
        <v>0</v>
      </c>
    </row>
    <row r="30" spans="1:12" ht="21.6" customHeight="1">
      <c r="A30" s="838"/>
      <c r="B30" s="113"/>
      <c r="C30" s="113"/>
      <c r="D30" s="114" t="s">
        <v>0</v>
      </c>
      <c r="E30" s="114"/>
      <c r="F30" s="114"/>
    </row>
    <row r="31" spans="1:12" ht="21.6" customHeight="1">
      <c r="A31" s="91"/>
      <c r="B31" s="320" t="s">
        <v>184</v>
      </c>
      <c r="C31" s="321" t="s">
        <v>0</v>
      </c>
      <c r="D31" s="322">
        <f>D23+D24-D25-D26+D28-D29</f>
        <v>0</v>
      </c>
      <c r="E31" s="322">
        <f>E23+E24-E25-E26+E28-E29</f>
        <v>0</v>
      </c>
      <c r="F31" s="322">
        <f>F23+F24-F25-F26+F28-F29</f>
        <v>0</v>
      </c>
    </row>
    <row r="32" spans="1:12" ht="21.6" customHeight="1">
      <c r="A32" s="91"/>
      <c r="B32" s="115" t="s">
        <v>304</v>
      </c>
      <c r="C32" s="116"/>
      <c r="D32" s="631"/>
      <c r="E32" s="631"/>
      <c r="F32" s="103"/>
      <c r="H32" s="350" t="s">
        <v>394</v>
      </c>
      <c r="I32" s="351"/>
      <c r="J32" s="351"/>
      <c r="K32" s="351"/>
      <c r="L32" s="352"/>
    </row>
    <row r="33" spans="1:12" ht="21.6" customHeight="1" thickBot="1">
      <c r="A33" s="91"/>
      <c r="B33" s="115"/>
      <c r="C33" s="116" t="s">
        <v>0</v>
      </c>
      <c r="D33" s="103">
        <v>0</v>
      </c>
      <c r="E33" s="103">
        <v>0</v>
      </c>
      <c r="F33" s="631">
        <v>0</v>
      </c>
      <c r="H33" s="350" t="s">
        <v>393</v>
      </c>
      <c r="I33" s="351"/>
      <c r="J33" s="351"/>
      <c r="K33" s="351"/>
      <c r="L33" s="352"/>
    </row>
    <row r="34" spans="1:12" s="24" customFormat="1" ht="21.6" customHeight="1" thickBot="1">
      <c r="A34" s="839" t="s">
        <v>280</v>
      </c>
      <c r="B34" s="840"/>
      <c r="C34" s="117"/>
      <c r="D34" s="118">
        <f>D31-D32</f>
        <v>0</v>
      </c>
      <c r="E34" s="118">
        <f>E31-E32</f>
        <v>0</v>
      </c>
      <c r="F34" s="119">
        <f>F31-F32</f>
        <v>0</v>
      </c>
      <c r="G34" s="349"/>
      <c r="H34" s="349"/>
      <c r="I34" s="349"/>
      <c r="J34" s="349"/>
      <c r="K34" s="349"/>
    </row>
    <row r="35" spans="1:12" ht="21.75" customHeight="1"/>
    <row r="36" spans="1:12" ht="21.75" customHeight="1">
      <c r="A36" s="91"/>
      <c r="B36" s="125"/>
      <c r="C36" s="125"/>
      <c r="D36" s="139"/>
      <c r="E36" s="139"/>
      <c r="F36" s="139"/>
    </row>
    <row r="37" spans="1:12" ht="21.75" customHeight="1">
      <c r="A37" s="91"/>
      <c r="B37" s="125"/>
      <c r="C37" s="125"/>
      <c r="D37" s="139"/>
      <c r="E37" s="139"/>
      <c r="F37" s="139"/>
    </row>
    <row r="38" spans="1:12" ht="21.75" customHeight="1">
      <c r="A38" s="91"/>
      <c r="B38" s="125"/>
      <c r="C38" s="125"/>
      <c r="D38" s="139"/>
      <c r="E38" s="139"/>
      <c r="F38" s="139"/>
    </row>
    <row r="39" spans="1:12" ht="21.75" customHeight="1">
      <c r="A39" s="91"/>
      <c r="B39" s="125"/>
      <c r="C39" s="125"/>
      <c r="D39" s="139"/>
      <c r="E39" s="139"/>
      <c r="F39" s="139"/>
    </row>
    <row r="40" spans="1:12" ht="21.75" customHeight="1">
      <c r="A40"/>
      <c r="B40"/>
      <c r="C40"/>
      <c r="D40"/>
      <c r="E40"/>
      <c r="F40"/>
      <c r="G40" s="69"/>
      <c r="H40" s="69"/>
      <c r="I40" s="69"/>
      <c r="J40" s="69"/>
    </row>
    <row r="41" spans="1:12" ht="21.75" customHeight="1">
      <c r="A41"/>
      <c r="B41"/>
      <c r="C41"/>
      <c r="D41"/>
      <c r="E41"/>
      <c r="F41"/>
      <c r="G41" s="69"/>
      <c r="H41" s="69"/>
      <c r="I41" s="69"/>
      <c r="J41" s="69"/>
    </row>
    <row r="42" spans="1:12" ht="21.75" customHeight="1">
      <c r="A42"/>
      <c r="B42"/>
      <c r="C42"/>
      <c r="D42"/>
      <c r="E42"/>
      <c r="F42"/>
      <c r="G42" s="69"/>
      <c r="H42" s="69"/>
      <c r="I42" s="69"/>
      <c r="J42" s="69"/>
    </row>
    <row r="43" spans="1:12" ht="21.75" customHeight="1">
      <c r="A43"/>
      <c r="B43"/>
      <c r="C43"/>
      <c r="D43"/>
      <c r="E43"/>
      <c r="F43"/>
      <c r="G43" s="69"/>
      <c r="H43" s="69"/>
      <c r="I43" s="69"/>
      <c r="J43" s="69"/>
    </row>
    <row r="44" spans="1:12" ht="21.75" customHeight="1">
      <c r="A44"/>
      <c r="B44"/>
      <c r="C44"/>
      <c r="D44"/>
      <c r="E44"/>
      <c r="F44"/>
      <c r="G44" s="69"/>
      <c r="H44" s="69"/>
      <c r="I44" s="69"/>
      <c r="J44" s="69"/>
    </row>
    <row r="45" spans="1:12" ht="21.75" customHeight="1">
      <c r="A45"/>
      <c r="B45"/>
      <c r="C45"/>
      <c r="D45"/>
      <c r="E45"/>
      <c r="F45"/>
      <c r="G45" s="69"/>
      <c r="H45" s="69"/>
      <c r="I45" s="69"/>
      <c r="J45" s="69"/>
    </row>
    <row r="46" spans="1:12" ht="21.75" customHeight="1">
      <c r="A46"/>
      <c r="B46"/>
      <c r="C46"/>
      <c r="D46"/>
      <c r="E46"/>
      <c r="F46"/>
      <c r="G46" s="69"/>
      <c r="H46" s="69"/>
      <c r="I46" s="69"/>
      <c r="J46" s="69"/>
    </row>
    <row r="47" spans="1:12" ht="21.75" customHeight="1">
      <c r="A47"/>
      <c r="B47"/>
      <c r="C47"/>
      <c r="D47"/>
      <c r="E47"/>
      <c r="F47"/>
      <c r="G47" s="69"/>
      <c r="H47" s="69"/>
      <c r="I47" s="69"/>
      <c r="J47" s="69"/>
    </row>
    <row r="48" spans="1:12" ht="21.75" customHeight="1">
      <c r="A48"/>
      <c r="B48"/>
      <c r="C48"/>
      <c r="D48"/>
      <c r="E48"/>
      <c r="F48"/>
      <c r="G48" s="69"/>
      <c r="H48" s="69"/>
      <c r="I48" s="69"/>
      <c r="J48" s="69"/>
    </row>
    <row r="49" spans="1:10" ht="21.75" customHeight="1">
      <c r="A49"/>
      <c r="B49"/>
      <c r="C49"/>
      <c r="D49"/>
      <c r="E49"/>
      <c r="F49"/>
      <c r="G49" s="69"/>
      <c r="H49" s="69"/>
      <c r="I49" s="69"/>
      <c r="J49" s="69"/>
    </row>
    <row r="50" spans="1:10" ht="21.75" customHeight="1">
      <c r="A50"/>
      <c r="B50"/>
      <c r="C50"/>
      <c r="D50"/>
      <c r="E50"/>
      <c r="F50"/>
      <c r="G50" s="69"/>
      <c r="H50" s="69"/>
      <c r="I50" s="69"/>
      <c r="J50" s="69"/>
    </row>
    <row r="51" spans="1:10" ht="21.75" customHeight="1">
      <c r="A51"/>
      <c r="B51"/>
      <c r="C51"/>
      <c r="D51"/>
      <c r="E51"/>
      <c r="F51"/>
      <c r="G51" s="69"/>
      <c r="H51" s="69"/>
      <c r="I51" s="69"/>
      <c r="J51" s="69"/>
    </row>
    <row r="52" spans="1:10" ht="21.75" customHeight="1">
      <c r="A52"/>
      <c r="B52"/>
      <c r="C52"/>
      <c r="D52"/>
      <c r="E52"/>
      <c r="F52"/>
      <c r="G52" s="69"/>
      <c r="H52" s="69"/>
      <c r="I52" s="69"/>
      <c r="J52" s="69"/>
    </row>
    <row r="53" spans="1:10" ht="21.75" customHeight="1">
      <c r="A53"/>
      <c r="B53"/>
      <c r="C53"/>
      <c r="D53"/>
      <c r="E53"/>
      <c r="F53"/>
      <c r="G53" s="69"/>
      <c r="H53" s="69"/>
      <c r="I53" s="69"/>
    </row>
    <row r="54" spans="1:10" ht="21.75" customHeight="1">
      <c r="A54"/>
      <c r="B54"/>
      <c r="C54"/>
      <c r="D54"/>
      <c r="E54"/>
      <c r="F54"/>
      <c r="G54" s="69"/>
      <c r="H54" s="69"/>
      <c r="I54" s="69"/>
      <c r="J54" s="69"/>
    </row>
    <row r="55" spans="1:10" ht="21.75" customHeight="1">
      <c r="A55"/>
      <c r="B55"/>
      <c r="C55"/>
      <c r="D55"/>
      <c r="E55"/>
      <c r="F55"/>
      <c r="G55" s="69"/>
      <c r="H55" s="69"/>
      <c r="I55" s="69"/>
      <c r="J55" s="69"/>
    </row>
    <row r="56" spans="1:10" ht="21.75" customHeight="1">
      <c r="A56"/>
      <c r="B56"/>
      <c r="C56"/>
      <c r="D56"/>
      <c r="E56"/>
      <c r="F56"/>
      <c r="G56" s="69"/>
      <c r="H56" s="69"/>
      <c r="I56" s="69"/>
    </row>
    <row r="57" spans="1:10" ht="21.75" customHeight="1">
      <c r="A57"/>
      <c r="B57"/>
      <c r="C57"/>
      <c r="D57"/>
      <c r="E57"/>
      <c r="F57"/>
      <c r="G57" s="69"/>
      <c r="H57" s="69"/>
      <c r="I57" s="69"/>
      <c r="J57" s="69"/>
    </row>
    <row r="58" spans="1:10" ht="21.75" customHeight="1">
      <c r="A58"/>
      <c r="B58"/>
      <c r="C58"/>
      <c r="D58"/>
      <c r="E58"/>
      <c r="F58"/>
      <c r="G58" s="69"/>
      <c r="H58" s="69"/>
      <c r="I58" s="69"/>
      <c r="J58" s="69"/>
    </row>
    <row r="59" spans="1:10" ht="21.75" customHeight="1">
      <c r="A59"/>
      <c r="B59"/>
      <c r="C59"/>
      <c r="D59"/>
      <c r="E59"/>
      <c r="F59"/>
      <c r="G59" s="69"/>
      <c r="H59" s="69"/>
      <c r="I59" s="69"/>
      <c r="J59" s="69"/>
    </row>
    <row r="60" spans="1:10" ht="21.75" customHeight="1">
      <c r="A60"/>
      <c r="B60"/>
      <c r="C60"/>
      <c r="D60"/>
      <c r="E60"/>
      <c r="F60"/>
      <c r="G60" s="69"/>
      <c r="H60" s="69"/>
      <c r="I60" s="69"/>
      <c r="J60" s="69"/>
    </row>
    <row r="61" spans="1:10" ht="21.75" customHeight="1">
      <c r="A61"/>
      <c r="B61"/>
      <c r="C61"/>
      <c r="D61"/>
      <c r="E61"/>
      <c r="F61"/>
      <c r="G61" s="69"/>
      <c r="H61" s="69"/>
      <c r="I61" s="69"/>
      <c r="J61" s="69"/>
    </row>
    <row r="62" spans="1:10" ht="21.75" customHeight="1">
      <c r="A62" s="91"/>
      <c r="B62" s="125"/>
      <c r="C62" s="125"/>
      <c r="D62" s="139"/>
      <c r="E62" s="139"/>
      <c r="F62" s="139"/>
      <c r="H62" s="69"/>
      <c r="I62" s="69"/>
      <c r="J62" s="69"/>
    </row>
    <row r="63" spans="1:10" ht="21.75" customHeight="1">
      <c r="A63" s="91"/>
      <c r="B63" s="125"/>
      <c r="C63" s="125"/>
      <c r="D63" s="139"/>
      <c r="E63" s="139"/>
      <c r="F63" s="139"/>
      <c r="H63" s="69"/>
      <c r="I63" s="69"/>
      <c r="J63" s="69"/>
    </row>
    <row r="64" spans="1:10" ht="21.75" customHeight="1">
      <c r="A64" s="91"/>
      <c r="B64" s="125"/>
      <c r="C64" s="125"/>
      <c r="D64" s="139"/>
      <c r="E64" s="139"/>
      <c r="F64" s="139"/>
      <c r="H64" s="69"/>
      <c r="I64" s="69"/>
      <c r="J64" s="69"/>
    </row>
    <row r="65" spans="1:10" ht="21.75" customHeight="1">
      <c r="A65" s="91"/>
      <c r="B65" s="125"/>
      <c r="C65" s="125"/>
      <c r="D65" s="139"/>
      <c r="E65"/>
      <c r="F65" s="139"/>
      <c r="H65" s="69"/>
      <c r="I65" s="69"/>
      <c r="J65" s="69"/>
    </row>
    <row r="66" spans="1:10" ht="21.75" customHeight="1">
      <c r="A66" s="91"/>
      <c r="B66" s="125"/>
      <c r="C66" s="125"/>
      <c r="D66" s="139"/>
      <c r="E66"/>
      <c r="F66" s="139"/>
      <c r="H66" s="69"/>
      <c r="I66" s="69"/>
      <c r="J66" s="69"/>
    </row>
    <row r="67" spans="1:10" ht="21.75" customHeight="1">
      <c r="A67" s="91"/>
      <c r="B67" s="125"/>
      <c r="C67" s="125"/>
      <c r="D67" s="139"/>
      <c r="E67" s="139"/>
      <c r="F67" s="139"/>
    </row>
    <row r="68" spans="1:10" ht="21.75" customHeight="1">
      <c r="A68"/>
      <c r="B68"/>
      <c r="C68"/>
      <c r="D68"/>
      <c r="E68"/>
      <c r="F68"/>
    </row>
    <row r="69" spans="1:10" ht="21.75" customHeight="1">
      <c r="A69"/>
      <c r="B69"/>
      <c r="C69"/>
      <c r="D69"/>
      <c r="E69"/>
      <c r="F69"/>
    </row>
    <row r="70" spans="1:10">
      <c r="A70"/>
      <c r="B70"/>
      <c r="C70"/>
      <c r="D70"/>
      <c r="E70"/>
      <c r="F70"/>
    </row>
    <row r="71" spans="1:10">
      <c r="A71"/>
      <c r="B71"/>
      <c r="C71"/>
      <c r="D71"/>
      <c r="E71"/>
      <c r="F71"/>
    </row>
    <row r="72" spans="1:10">
      <c r="A72"/>
      <c r="B72"/>
      <c r="C72"/>
      <c r="D72"/>
      <c r="E72"/>
      <c r="F72"/>
    </row>
    <row r="73" spans="1:10">
      <c r="A73"/>
      <c r="B73"/>
      <c r="C73"/>
      <c r="D73"/>
      <c r="E73"/>
      <c r="F73"/>
    </row>
    <row r="74" spans="1:10">
      <c r="A74"/>
      <c r="B74"/>
      <c r="C74"/>
      <c r="D74"/>
      <c r="E74"/>
      <c r="F74"/>
    </row>
    <row r="75" spans="1:10">
      <c r="A75"/>
      <c r="B75"/>
      <c r="C75"/>
      <c r="D75"/>
      <c r="E75"/>
      <c r="F75"/>
    </row>
    <row r="76" spans="1:10">
      <c r="A76"/>
      <c r="B76"/>
      <c r="C76"/>
      <c r="D76"/>
      <c r="E76"/>
      <c r="F76"/>
    </row>
    <row r="77" spans="1:10">
      <c r="A77"/>
      <c r="B77"/>
      <c r="C77"/>
      <c r="D77"/>
      <c r="E77"/>
      <c r="F77"/>
    </row>
    <row r="78" spans="1:10">
      <c r="A78"/>
      <c r="B78"/>
      <c r="C78"/>
      <c r="D78"/>
      <c r="E78"/>
      <c r="F78"/>
    </row>
    <row r="79" spans="1:10">
      <c r="A79"/>
      <c r="B79"/>
      <c r="C79"/>
      <c r="D79"/>
      <c r="E79"/>
      <c r="F79"/>
      <c r="G79" s="69"/>
    </row>
    <row r="80" spans="1:10">
      <c r="A80"/>
      <c r="B80"/>
      <c r="C80"/>
      <c r="D80"/>
      <c r="E80"/>
      <c r="F80"/>
      <c r="G80" s="69"/>
    </row>
    <row r="81" spans="1:7">
      <c r="A81"/>
      <c r="B81"/>
      <c r="C81"/>
      <c r="D81"/>
      <c r="E81"/>
      <c r="F81"/>
      <c r="G81" s="69"/>
    </row>
    <row r="82" spans="1:7">
      <c r="A82"/>
      <c r="B82"/>
      <c r="C82"/>
      <c r="D82"/>
      <c r="E82"/>
      <c r="F82"/>
      <c r="G82" s="69"/>
    </row>
    <row r="83" spans="1:7">
      <c r="A83"/>
      <c r="B83"/>
      <c r="C83"/>
      <c r="D83"/>
      <c r="E83"/>
      <c r="F83"/>
      <c r="G83" s="69"/>
    </row>
    <row r="84" spans="1:7">
      <c r="A84"/>
      <c r="B84"/>
      <c r="C84"/>
      <c r="D84"/>
      <c r="E84"/>
      <c r="F84"/>
      <c r="G84" s="69"/>
    </row>
    <row r="85" spans="1:7">
      <c r="A85"/>
      <c r="B85"/>
      <c r="C85"/>
      <c r="D85"/>
      <c r="E85"/>
      <c r="F85"/>
      <c r="G85" s="69"/>
    </row>
    <row r="86" spans="1:7">
      <c r="A86"/>
      <c r="B86"/>
      <c r="C86"/>
      <c r="D86"/>
      <c r="E86"/>
      <c r="F86"/>
      <c r="G86" s="69"/>
    </row>
    <row r="87" spans="1:7">
      <c r="A87"/>
      <c r="B87"/>
      <c r="C87"/>
      <c r="D87"/>
      <c r="E87"/>
      <c r="F87"/>
      <c r="G87" s="69"/>
    </row>
    <row r="88" spans="1:7">
      <c r="A88"/>
      <c r="B88"/>
      <c r="C88"/>
      <c r="D88"/>
      <c r="E88"/>
      <c r="F88"/>
      <c r="G88" s="69"/>
    </row>
    <row r="89" spans="1:7">
      <c r="A89"/>
      <c r="B89"/>
      <c r="C89"/>
      <c r="D89"/>
      <c r="E89"/>
      <c r="F89"/>
      <c r="G89" s="69"/>
    </row>
    <row r="90" spans="1:7">
      <c r="A90"/>
      <c r="B90"/>
      <c r="C90"/>
      <c r="D90"/>
      <c r="E90"/>
      <c r="F90"/>
      <c r="G90" s="69"/>
    </row>
  </sheetData>
  <sheetProtection formatCells="0"/>
  <mergeCells count="9">
    <mergeCell ref="A22:B22"/>
    <mergeCell ref="A23:B23"/>
    <mergeCell ref="A24:A30"/>
    <mergeCell ref="A34:B34"/>
    <mergeCell ref="B1:F1"/>
    <mergeCell ref="A4:A9"/>
    <mergeCell ref="A10:B10"/>
    <mergeCell ref="A11:A21"/>
    <mergeCell ref="A2:C2"/>
  </mergeCells>
  <phoneticPr fontId="0" type="noConversion"/>
  <printOptions horizontalCentered="1"/>
  <pageMargins left="0.31496062992125984" right="0.31496062992125984" top="0.62992125984251968" bottom="0.6692913385826772" header="0.43307086614173229" footer="0.51181102362204722"/>
  <pageSetup paperSize="9" scale="86" orientation="portrait" horizontalDpi="4294967295" verticalDpi="4294967295"/>
  <headerFooter alignWithMargins="0">
    <oddHeader>&amp;R3,0</oddHeader>
    <oddFooter>&amp;Limprimé le &amp;D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24</vt:i4>
      </vt:variant>
      <vt:variant>
        <vt:lpstr>Plages nommées</vt:lpstr>
      </vt:variant>
      <vt:variant>
        <vt:i4>15</vt:i4>
      </vt:variant>
    </vt:vector>
  </HeadingPairs>
  <TitlesOfParts>
    <vt:vector size="39" baseType="lpstr">
      <vt:lpstr>Introduction</vt:lpstr>
      <vt:lpstr>PLAN DE FINANCEMENT SIMPLE</vt:lpstr>
      <vt:lpstr>1.0 Plan de financement</vt:lpstr>
      <vt:lpstr>1.0b Plan de financement RPI</vt:lpstr>
      <vt:lpstr>1.1 Détails Investissements</vt:lpstr>
      <vt:lpstr>1.2 Détails stocks</vt:lpstr>
      <vt:lpstr>1.3 Ma trésorerie de départ</vt:lpstr>
      <vt:lpstr>1,31 BFR</vt:lpstr>
      <vt:lpstr>3.0 Compte de résultat</vt:lpstr>
      <vt:lpstr>3,01 caf</vt:lpstr>
      <vt:lpstr>3.1 Détails charges fixes</vt:lpstr>
      <vt:lpstr>3,10 sal</vt:lpstr>
      <vt:lpstr>3,12 amort</vt:lpstr>
      <vt:lpstr>3,131 int emprunts</vt:lpstr>
      <vt:lpstr>3,5 coeff-taux</vt:lpstr>
      <vt:lpstr>3,51 taux pond</vt:lpstr>
      <vt:lpstr>3,6 ca mini</vt:lpstr>
      <vt:lpstr>4 trésorerie</vt:lpstr>
      <vt:lpstr>5,0 Analyses</vt:lpstr>
      <vt:lpstr>5,1 SIG</vt:lpstr>
      <vt:lpstr>CHRONO DEVIS</vt:lpstr>
      <vt:lpstr>CHRONO FACTURE</vt:lpstr>
      <vt:lpstr>Graphiques analyse</vt:lpstr>
      <vt:lpstr>Listes déroulantes</vt:lpstr>
      <vt:lpstr>'1,31 BFR'!Zone_d_impression</vt:lpstr>
      <vt:lpstr>'1.0 Plan de financement'!Zone_d_impression</vt:lpstr>
      <vt:lpstr>'1.0b Plan de financement RPI'!Zone_d_impression</vt:lpstr>
      <vt:lpstr>'1.1 Détails Investissements'!Zone_d_impression</vt:lpstr>
      <vt:lpstr>'1.2 Détails stocks'!Zone_d_impression</vt:lpstr>
      <vt:lpstr>'1.3 Ma trésorerie de départ'!Zone_d_impression</vt:lpstr>
      <vt:lpstr>'3,01 caf'!Zone_d_impression</vt:lpstr>
      <vt:lpstr>'3,5 coeff-taux'!Zone_d_impression</vt:lpstr>
      <vt:lpstr>'3,51 taux pond'!Zone_d_impression</vt:lpstr>
      <vt:lpstr>'3,6 ca mini'!Zone_d_impression</vt:lpstr>
      <vt:lpstr>'3.0 Compte de résultat'!Zone_d_impression</vt:lpstr>
      <vt:lpstr>'3.1 Détails charges fixes'!Zone_d_impression</vt:lpstr>
      <vt:lpstr>'4 trésorerie'!Zone_d_impression</vt:lpstr>
      <vt:lpstr>'5,1 SIG'!Zone_d_impression</vt:lpstr>
      <vt:lpstr>'PLAN DE FINANCEMENT SIMPLE'!Zone_d_impression</vt:lpstr>
    </vt:vector>
  </TitlesOfParts>
  <Company>007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Mush</dc:creator>
  <cp:lastModifiedBy>habiba</cp:lastModifiedBy>
  <cp:lastPrinted>2013-03-19T07:42:31Z</cp:lastPrinted>
  <dcterms:created xsi:type="dcterms:W3CDTF">2002-08-06T13:39:43Z</dcterms:created>
  <dcterms:modified xsi:type="dcterms:W3CDTF">2014-11-27T10:12:00Z</dcterms:modified>
</cp:coreProperties>
</file>