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emf" ContentType="image/x-emf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2685" yWindow="0" windowWidth="11580" windowHeight="8205" tabRatio="873" firstSheet="6" activeTab="7"/>
  </bookViews>
  <sheets>
    <sheet name="Introduction" sheetId="37" state="hidden" r:id="rId1"/>
    <sheet name="1.0 Plan de financement" sheetId="18" r:id="rId2"/>
    <sheet name="1.0b Plan de financement RPI" sheetId="39" state="hidden" r:id="rId3"/>
    <sheet name="1.1 Détails Investissements" sheetId="17" r:id="rId4"/>
    <sheet name="1.2 Détails stocks" sheetId="13" state="hidden" r:id="rId5"/>
    <sheet name="1.3 Ma trésorerie de départ" sheetId="15" r:id="rId6"/>
    <sheet name="1,31 BFR" sheetId="14" r:id="rId7"/>
    <sheet name="3.0 Compte de résultat" sheetId="11" r:id="rId8"/>
    <sheet name="3,01 caf" sheetId="32" r:id="rId9"/>
    <sheet name="3.1 Détails charges fixes" sheetId="10" r:id="rId10"/>
    <sheet name="3,10 sal" sheetId="34" r:id="rId11"/>
    <sheet name="3,12 amort" sheetId="8" state="hidden" r:id="rId12"/>
    <sheet name="3,131 int emprunts" sheetId="7" r:id="rId13"/>
    <sheet name="3,6 ca mini" sheetId="22" r:id="rId14"/>
    <sheet name="3,5 coeff-taux" sheetId="4" state="hidden" r:id="rId15"/>
    <sheet name="3,51 taux pond" sheetId="23" r:id="rId16"/>
    <sheet name="4 trésorerie" sheetId="2" r:id="rId17"/>
    <sheet name="5,0 Analyses" sheetId="36" state="hidden" r:id="rId18"/>
    <sheet name="5,1 SIG" sheetId="3" state="hidden" r:id="rId19"/>
    <sheet name="facturation" sheetId="40" r:id="rId20"/>
  </sheets>
  <definedNames>
    <definedName name="assurprof">'4 trésorerie'!$C$29</definedName>
    <definedName name="avocat">'4 trésorerie'!$C$35</definedName>
    <definedName name="carburant">'4 trésorerie'!$C$17</definedName>
    <definedName name="cotsal">'4 trésorerie'!$C$49</definedName>
    <definedName name="cottns">'4 trésorerie'!$C$50</definedName>
    <definedName name="docref">'4 trésorerie'!$C$30</definedName>
    <definedName name="expcptbe">'4 trésorerie'!$C$34</definedName>
    <definedName name="fournbur">'4 trésorerie'!$C$21</definedName>
    <definedName name="fraisbqe">'4 trésorerie'!$C$42</definedName>
    <definedName name="fraisdep">'4 trésorerie'!$C$37</definedName>
    <definedName name="fraispost">'4 trésorerie'!$C$39</definedName>
    <definedName name="frrecp">'4 trésorerie'!$C$38</definedName>
    <definedName name="impots">'4 trésorerie'!$C$46</definedName>
    <definedName name="loimadelin">'4 trésorerie'!$C$51</definedName>
    <definedName name="loyer">'4 trésorerie'!$C$25</definedName>
    <definedName name="prodent">'4 trésorerie'!$C$19</definedName>
    <definedName name="salpersonnel">'4 trésorerie'!$C$47</definedName>
    <definedName name="tél">'4 trésorerie'!$C$40</definedName>
    <definedName name="_xlnm.Print_Area" localSheetId="6">'1,31 BFR'!$A$1:$G$58</definedName>
    <definedName name="_xlnm.Print_Area" localSheetId="1">'1.0 Plan de financement'!$A$1:$I$31</definedName>
    <definedName name="_xlnm.Print_Area" localSheetId="2">'1.0b Plan de financement RPI'!$A$1:$I$31</definedName>
    <definedName name="_xlnm.Print_Area" localSheetId="3">'1.1 Détails Investissements'!$A$1:$E$62</definedName>
    <definedName name="_xlnm.Print_Area" localSheetId="4">'1.2 Détails stocks'!$A$1:$G$23</definedName>
    <definedName name="_xlnm.Print_Area" localSheetId="5">'1.3 Ma trésorerie de départ'!$A$1:$D$33</definedName>
    <definedName name="_xlnm.Print_Area" localSheetId="8">'3,01 caf'!$A$1:$E$17</definedName>
    <definedName name="_xlnm.Print_Area" localSheetId="14">'3,5 coeff-taux'!$A$1:$J$23</definedName>
    <definedName name="_xlnm.Print_Area" localSheetId="15">'3,51 taux pond'!$A$1:$E$33</definedName>
    <definedName name="_xlnm.Print_Area" localSheetId="13">'3,6 ca mini'!$A$1:$G$37</definedName>
    <definedName name="_xlnm.Print_Area" localSheetId="7">'3.0 Compte de résultat'!$A$1:$F$34</definedName>
    <definedName name="_xlnm.Print_Area" localSheetId="9">'3.1 Détails charges fixes'!$A$1:$E$78</definedName>
    <definedName name="_xlnm.Print_Area" localSheetId="16">'4 trésorerie'!$A$1:$P$62</definedName>
    <definedName name="_xlnm.Print_Area" localSheetId="18">'5,1 SIG'!$A$1:$G$43</definedName>
  </definedNames>
  <calcPr calcId="125725" iterateDelta="1E-4"/>
</workbook>
</file>

<file path=xl/calcChain.xml><?xml version="1.0" encoding="utf-8"?>
<calcChain xmlns="http://schemas.openxmlformats.org/spreadsheetml/2006/main">
  <c r="E22" i="40"/>
  <c r="E10"/>
  <c r="B18"/>
  <c r="C9"/>
  <c r="B15"/>
  <c r="C33" i="10"/>
  <c r="D54" l="1"/>
  <c r="D57" s="1"/>
  <c r="D58"/>
  <c r="E9" i="2"/>
  <c r="F51"/>
  <c r="G51"/>
  <c r="H51"/>
  <c r="I51"/>
  <c r="J51"/>
  <c r="K51"/>
  <c r="L51"/>
  <c r="M51"/>
  <c r="N51"/>
  <c r="O51"/>
  <c r="P51"/>
  <c r="F50"/>
  <c r="G50"/>
  <c r="H50"/>
  <c r="I50"/>
  <c r="J50"/>
  <c r="K50"/>
  <c r="L50"/>
  <c r="M50"/>
  <c r="N50"/>
  <c r="O50"/>
  <c r="P50"/>
  <c r="J49"/>
  <c r="K49"/>
  <c r="L49"/>
  <c r="M49"/>
  <c r="N49"/>
  <c r="O49"/>
  <c r="P49"/>
  <c r="J47"/>
  <c r="K47"/>
  <c r="L47"/>
  <c r="M47"/>
  <c r="N47"/>
  <c r="O47"/>
  <c r="P47"/>
  <c r="F29"/>
  <c r="G29"/>
  <c r="H29"/>
  <c r="I29"/>
  <c r="J29"/>
  <c r="K29"/>
  <c r="L29"/>
  <c r="M29"/>
  <c r="N29"/>
  <c r="O29"/>
  <c r="P29"/>
  <c r="F30"/>
  <c r="G30"/>
  <c r="H30"/>
  <c r="I30"/>
  <c r="J30"/>
  <c r="K30"/>
  <c r="L30"/>
  <c r="M30"/>
  <c r="N30"/>
  <c r="O30"/>
  <c r="P30"/>
  <c r="F34"/>
  <c r="G34"/>
  <c r="H34"/>
  <c r="I34"/>
  <c r="J34"/>
  <c r="K34"/>
  <c r="L34"/>
  <c r="M34"/>
  <c r="N34"/>
  <c r="O34"/>
  <c r="P34"/>
  <c r="F35"/>
  <c r="G35"/>
  <c r="H35"/>
  <c r="I35"/>
  <c r="J35"/>
  <c r="K35"/>
  <c r="L35"/>
  <c r="M35"/>
  <c r="N35"/>
  <c r="O35"/>
  <c r="P35"/>
  <c r="F37"/>
  <c r="G37"/>
  <c r="H37"/>
  <c r="I37"/>
  <c r="J37"/>
  <c r="K37"/>
  <c r="L37"/>
  <c r="M37"/>
  <c r="N37"/>
  <c r="O37"/>
  <c r="P37"/>
  <c r="F38"/>
  <c r="G38"/>
  <c r="H38"/>
  <c r="I38"/>
  <c r="J38"/>
  <c r="K38"/>
  <c r="L38"/>
  <c r="M38"/>
  <c r="N38"/>
  <c r="O38"/>
  <c r="P38"/>
  <c r="F39"/>
  <c r="G39"/>
  <c r="H39"/>
  <c r="I39"/>
  <c r="J39"/>
  <c r="K39"/>
  <c r="L39"/>
  <c r="M39"/>
  <c r="N39"/>
  <c r="O39"/>
  <c r="P39"/>
  <c r="F42"/>
  <c r="G42"/>
  <c r="H42"/>
  <c r="I42"/>
  <c r="J42"/>
  <c r="K42"/>
  <c r="L42"/>
  <c r="M42"/>
  <c r="N42"/>
  <c r="O42"/>
  <c r="P42"/>
  <c r="F46"/>
  <c r="G46"/>
  <c r="H46"/>
  <c r="I46"/>
  <c r="J46"/>
  <c r="K46"/>
  <c r="L46"/>
  <c r="M46"/>
  <c r="N46"/>
  <c r="O46"/>
  <c r="P46"/>
  <c r="F25"/>
  <c r="G25"/>
  <c r="H25"/>
  <c r="I25"/>
  <c r="J25"/>
  <c r="K25"/>
  <c r="L25"/>
  <c r="M25"/>
  <c r="N25"/>
  <c r="O25"/>
  <c r="P25"/>
  <c r="F21"/>
  <c r="G21"/>
  <c r="H21"/>
  <c r="I21"/>
  <c r="J21"/>
  <c r="K21"/>
  <c r="L21"/>
  <c r="M21"/>
  <c r="N21"/>
  <c r="O21"/>
  <c r="P21"/>
  <c r="E19"/>
  <c r="E21"/>
  <c r="E25"/>
  <c r="E29"/>
  <c r="I49"/>
  <c r="I47"/>
  <c r="E51"/>
  <c r="E50"/>
  <c r="E46"/>
  <c r="E42"/>
  <c r="E39"/>
  <c r="E38"/>
  <c r="E37"/>
  <c r="E35"/>
  <c r="E34"/>
  <c r="E30"/>
  <c r="U16"/>
  <c r="U15"/>
  <c r="U14"/>
  <c r="C11" i="11"/>
  <c r="C45" i="17"/>
  <c r="E16" i="10"/>
  <c r="D16"/>
  <c r="E5" i="17"/>
  <c r="E44"/>
  <c r="C16" i="10"/>
  <c r="I12" i="18" l="1"/>
  <c r="H21" i="10"/>
  <c r="E58"/>
  <c r="I58"/>
  <c r="H58"/>
  <c r="G58"/>
  <c r="H56"/>
  <c r="I56"/>
  <c r="E59"/>
  <c r="D59"/>
  <c r="C59"/>
  <c r="C30"/>
  <c r="E14"/>
  <c r="D14"/>
  <c r="E21" i="34" l="1"/>
  <c r="E22"/>
  <c r="E23"/>
  <c r="E24"/>
  <c r="E25"/>
  <c r="E26"/>
  <c r="E27"/>
  <c r="E28"/>
  <c r="E29"/>
  <c r="E35"/>
  <c r="E36"/>
  <c r="E37"/>
  <c r="E38"/>
  <c r="E39"/>
  <c r="E40"/>
  <c r="E41"/>
  <c r="E42"/>
  <c r="E43"/>
  <c r="E7"/>
  <c r="E16" s="1"/>
  <c r="C54" i="10" s="1"/>
  <c r="E8" i="34"/>
  <c r="E9"/>
  <c r="E10"/>
  <c r="E11"/>
  <c r="E12"/>
  <c r="E13"/>
  <c r="E14"/>
  <c r="E15"/>
  <c r="D13" i="15"/>
  <c r="D10" i="11"/>
  <c r="D11" s="1"/>
  <c r="B14" i="3" s="1"/>
  <c r="D30" i="17"/>
  <c r="B30"/>
  <c r="C33"/>
  <c r="C34"/>
  <c r="C35"/>
  <c r="D44"/>
  <c r="C46"/>
  <c r="C47"/>
  <c r="C48"/>
  <c r="C44" s="1"/>
  <c r="C49"/>
  <c r="C50"/>
  <c r="C51"/>
  <c r="C52"/>
  <c r="B44"/>
  <c r="E16"/>
  <c r="D16"/>
  <c r="C17"/>
  <c r="C18"/>
  <c r="C19"/>
  <c r="C20"/>
  <c r="C21"/>
  <c r="C22"/>
  <c r="C23"/>
  <c r="C24"/>
  <c r="C25"/>
  <c r="C26"/>
  <c r="C27"/>
  <c r="C28"/>
  <c r="C29"/>
  <c r="C16"/>
  <c r="D23" i="15"/>
  <c r="D21"/>
  <c r="D22"/>
  <c r="D30"/>
  <c r="E26" i="39"/>
  <c r="D26"/>
  <c r="I25"/>
  <c r="C23" i="13"/>
  <c r="F23"/>
  <c r="C19" i="39"/>
  <c r="E17"/>
  <c r="E60" i="17"/>
  <c r="D17" i="39"/>
  <c r="B60" i="17"/>
  <c r="D60"/>
  <c r="C16" i="39"/>
  <c r="E15"/>
  <c r="E53" i="17"/>
  <c r="D15" i="39"/>
  <c r="E14"/>
  <c r="D14"/>
  <c r="E13"/>
  <c r="E40" i="17"/>
  <c r="D13" i="39"/>
  <c r="E12"/>
  <c r="E30" i="17"/>
  <c r="D12" i="39"/>
  <c r="E11"/>
  <c r="D11"/>
  <c r="E10"/>
  <c r="E14" i="17"/>
  <c r="D10" i="39"/>
  <c r="E9"/>
  <c r="E12" i="17"/>
  <c r="D9" i="39"/>
  <c r="B14" i="17"/>
  <c r="D14"/>
  <c r="C9" i="39"/>
  <c r="E8"/>
  <c r="E10" i="17"/>
  <c r="D8" i="39"/>
  <c r="B12" i="17"/>
  <c r="D12"/>
  <c r="C8" i="39"/>
  <c r="E7"/>
  <c r="D7"/>
  <c r="E6"/>
  <c r="E18"/>
  <c r="D6"/>
  <c r="D18"/>
  <c r="C15" i="2"/>
  <c r="O15" s="1"/>
  <c r="F12"/>
  <c r="F15"/>
  <c r="D7"/>
  <c r="D6"/>
  <c r="J20" i="7"/>
  <c r="K20" s="1"/>
  <c r="J23" s="1"/>
  <c r="J32"/>
  <c r="I29"/>
  <c r="K32"/>
  <c r="D73" i="10"/>
  <c r="H17" i="7"/>
  <c r="H23"/>
  <c r="H24"/>
  <c r="H25"/>
  <c r="H26"/>
  <c r="H27"/>
  <c r="H3"/>
  <c r="M15"/>
  <c r="L15"/>
  <c r="K15"/>
  <c r="J15"/>
  <c r="I15"/>
  <c r="H9"/>
  <c r="J6"/>
  <c r="I9" s="1"/>
  <c r="A17"/>
  <c r="A23"/>
  <c r="A24"/>
  <c r="A25" s="1"/>
  <c r="A26" s="1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A3"/>
  <c r="C6"/>
  <c r="D6" s="1"/>
  <c r="C9" s="1"/>
  <c r="D15" i="15"/>
  <c r="D16"/>
  <c r="D17"/>
  <c r="D18"/>
  <c r="D19"/>
  <c r="D20"/>
  <c r="D24"/>
  <c r="D26"/>
  <c r="D27"/>
  <c r="D28"/>
  <c r="D29"/>
  <c r="D31"/>
  <c r="B53" i="17"/>
  <c r="D53"/>
  <c r="C14" i="39"/>
  <c r="C55" i="17"/>
  <c r="C56"/>
  <c r="C13" i="39"/>
  <c r="D40" i="17"/>
  <c r="B40"/>
  <c r="C12" i="39"/>
  <c r="C41" i="17"/>
  <c r="C42"/>
  <c r="C43"/>
  <c r="C40"/>
  <c r="C11" i="39"/>
  <c r="B13" i="8"/>
  <c r="E13" s="1"/>
  <c r="C32" i="17"/>
  <c r="C36"/>
  <c r="B16"/>
  <c r="C10" i="39" s="1"/>
  <c r="D5" i="17"/>
  <c r="B5"/>
  <c r="C6" i="39" s="1"/>
  <c r="C7" i="17"/>
  <c r="C8"/>
  <c r="C6"/>
  <c r="I25" i="18"/>
  <c r="C24" i="2"/>
  <c r="D9" i="15"/>
  <c r="D10"/>
  <c r="D12"/>
  <c r="C57" i="17"/>
  <c r="C58"/>
  <c r="C59"/>
  <c r="C5" i="14"/>
  <c r="C7" s="1"/>
  <c r="C20"/>
  <c r="D7" i="15"/>
  <c r="D8"/>
  <c r="D14"/>
  <c r="C39" i="17"/>
  <c r="C31"/>
  <c r="C37"/>
  <c r="C38"/>
  <c r="C30"/>
  <c r="C14" i="10"/>
  <c r="C24"/>
  <c r="D15" i="11" s="1"/>
  <c r="C12" i="10"/>
  <c r="D14" i="11" s="1"/>
  <c r="C39" i="10"/>
  <c r="D16" i="11" s="1"/>
  <c r="C11" i="18"/>
  <c r="C14"/>
  <c r="B10" i="17"/>
  <c r="D10"/>
  <c r="C7" i="39"/>
  <c r="C7" i="18"/>
  <c r="B9" i="8"/>
  <c r="F9"/>
  <c r="C9" i="18"/>
  <c r="C16"/>
  <c r="D23" i="13"/>
  <c r="G23"/>
  <c r="C18" i="39"/>
  <c r="C18" i="18"/>
  <c r="C19"/>
  <c r="C9" i="17"/>
  <c r="C15"/>
  <c r="C14"/>
  <c r="C54"/>
  <c r="C53"/>
  <c r="C60"/>
  <c r="E6" i="13"/>
  <c r="E7"/>
  <c r="E8"/>
  <c r="E9"/>
  <c r="E10"/>
  <c r="E11"/>
  <c r="E12"/>
  <c r="E13"/>
  <c r="E14"/>
  <c r="E15"/>
  <c r="E16"/>
  <c r="E17"/>
  <c r="E18"/>
  <c r="E19"/>
  <c r="E20"/>
  <c r="E21"/>
  <c r="E22"/>
  <c r="E23"/>
  <c r="C22" i="39"/>
  <c r="E26" i="18"/>
  <c r="D26"/>
  <c r="D6"/>
  <c r="D7"/>
  <c r="D8"/>
  <c r="D9"/>
  <c r="D10"/>
  <c r="D11"/>
  <c r="D12"/>
  <c r="D13"/>
  <c r="D14"/>
  <c r="D15"/>
  <c r="D17"/>
  <c r="E6"/>
  <c r="E7"/>
  <c r="E8"/>
  <c r="E9"/>
  <c r="E10"/>
  <c r="E11"/>
  <c r="E12"/>
  <c r="E13"/>
  <c r="E14"/>
  <c r="E15"/>
  <c r="E17"/>
  <c r="D62" i="17"/>
  <c r="I7" i="39" s="1"/>
  <c r="I12" s="1"/>
  <c r="D6" i="15"/>
  <c r="L19" i="22"/>
  <c r="G13" i="17"/>
  <c r="A3"/>
  <c r="A2" i="13"/>
  <c r="A2" i="15"/>
  <c r="G20" i="14"/>
  <c r="E20"/>
  <c r="E10" i="11"/>
  <c r="E5" i="14" s="1"/>
  <c r="F10" i="11"/>
  <c r="G5" i="14" s="1"/>
  <c r="C70" i="10"/>
  <c r="D21" i="11"/>
  <c r="D29"/>
  <c r="E11"/>
  <c r="D12" i="10"/>
  <c r="E14" i="11" s="1"/>
  <c r="D24" i="10"/>
  <c r="E15" i="11" s="1"/>
  <c r="D39" i="10"/>
  <c r="E16" i="11" s="1"/>
  <c r="F11"/>
  <c r="E12" i="10"/>
  <c r="F14" i="11" s="1"/>
  <c r="E24" i="10"/>
  <c r="F15" i="11" s="1"/>
  <c r="E39" i="10"/>
  <c r="F16" i="11" s="1"/>
  <c r="A2"/>
  <c r="E70" i="10"/>
  <c r="F21" i="11"/>
  <c r="D70" i="10"/>
  <c r="E21" i="11"/>
  <c r="E77" i="10"/>
  <c r="F29" i="11"/>
  <c r="D77" i="10"/>
  <c r="E29" i="11"/>
  <c r="B8" i="8"/>
  <c r="E8"/>
  <c r="B12"/>
  <c r="E12"/>
  <c r="B14"/>
  <c r="E14"/>
  <c r="B16"/>
  <c r="E16"/>
  <c r="B18"/>
  <c r="E18" s="1"/>
  <c r="B20"/>
  <c r="E20"/>
  <c r="F8"/>
  <c r="A9" i="7"/>
  <c r="A10"/>
  <c r="A11"/>
  <c r="A12"/>
  <c r="A13"/>
  <c r="C77" i="10"/>
  <c r="A2"/>
  <c r="F15" i="7"/>
  <c r="E15"/>
  <c r="D15"/>
  <c r="C15"/>
  <c r="B15"/>
  <c r="J20" i="4"/>
  <c r="J18"/>
  <c r="J16"/>
  <c r="J13"/>
  <c r="J11"/>
  <c r="J9"/>
  <c r="J6"/>
  <c r="E22" i="23"/>
  <c r="D22"/>
  <c r="D24"/>
  <c r="E24"/>
  <c r="D23"/>
  <c r="E23"/>
  <c r="C24"/>
  <c r="C23"/>
  <c r="C22"/>
  <c r="D21"/>
  <c r="E21"/>
  <c r="C21"/>
  <c r="D15"/>
  <c r="D28"/>
  <c r="D31" s="1"/>
  <c r="D33" s="1"/>
  <c r="E15"/>
  <c r="E28"/>
  <c r="E31" s="1"/>
  <c r="E33" s="1"/>
  <c r="C15"/>
  <c r="C33" i="2"/>
  <c r="C39"/>
  <c r="B64"/>
  <c r="G12"/>
  <c r="H12"/>
  <c r="I12"/>
  <c r="J12"/>
  <c r="K12"/>
  <c r="L12"/>
  <c r="M12"/>
  <c r="N12"/>
  <c r="O12"/>
  <c r="P12"/>
  <c r="E12"/>
  <c r="C52"/>
  <c r="C45"/>
  <c r="C28"/>
  <c r="C27"/>
  <c r="C26"/>
  <c r="C23"/>
  <c r="C18"/>
  <c r="C17"/>
  <c r="A32"/>
  <c r="A45"/>
  <c r="A22"/>
  <c r="C40"/>
  <c r="C44"/>
  <c r="C43"/>
  <c r="C42"/>
  <c r="C41"/>
  <c r="C38"/>
  <c r="C36"/>
  <c r="C37"/>
  <c r="C35"/>
  <c r="C34"/>
  <c r="C32"/>
  <c r="C30"/>
  <c r="C22"/>
  <c r="C21"/>
  <c r="C20"/>
  <c r="C19"/>
  <c r="C16"/>
  <c r="D67"/>
  <c r="K65"/>
  <c r="K66" s="1"/>
  <c r="E65"/>
  <c r="E66" s="1"/>
  <c r="F65"/>
  <c r="F66"/>
  <c r="I65"/>
  <c r="I66"/>
  <c r="J65"/>
  <c r="J66"/>
  <c r="P65"/>
  <c r="P66"/>
  <c r="O65"/>
  <c r="O66"/>
  <c r="N65"/>
  <c r="N66"/>
  <c r="M65"/>
  <c r="M66"/>
  <c r="L65"/>
  <c r="L66"/>
  <c r="H65"/>
  <c r="H66" s="1"/>
  <c r="G65"/>
  <c r="G66"/>
  <c r="C51"/>
  <c r="C50"/>
  <c r="C48"/>
  <c r="C31"/>
  <c r="C29"/>
  <c r="C25"/>
  <c r="K14" i="36"/>
  <c r="K48"/>
  <c r="K36"/>
  <c r="K8"/>
  <c r="K45"/>
  <c r="K41"/>
  <c r="K42"/>
  <c r="K30"/>
  <c r="K17"/>
  <c r="K20"/>
  <c r="K24"/>
  <c r="K25"/>
  <c r="K18"/>
  <c r="I14"/>
  <c r="I48"/>
  <c r="I36"/>
  <c r="I8"/>
  <c r="I45"/>
  <c r="I41"/>
  <c r="I42"/>
  <c r="I30"/>
  <c r="I17"/>
  <c r="I20"/>
  <c r="I24"/>
  <c r="I25"/>
  <c r="I18"/>
  <c r="G14"/>
  <c r="G48"/>
  <c r="G36"/>
  <c r="G8"/>
  <c r="G45"/>
  <c r="G41"/>
  <c r="G42"/>
  <c r="G30"/>
  <c r="G17"/>
  <c r="G20"/>
  <c r="G24"/>
  <c r="G25"/>
  <c r="G18"/>
  <c r="E14"/>
  <c r="E48"/>
  <c r="E36"/>
  <c r="E8"/>
  <c r="E45"/>
  <c r="E41"/>
  <c r="E42"/>
  <c r="E30"/>
  <c r="E17"/>
  <c r="E20"/>
  <c r="E24"/>
  <c r="E25"/>
  <c r="E18"/>
  <c r="C14"/>
  <c r="C41"/>
  <c r="C42"/>
  <c r="C48"/>
  <c r="C8"/>
  <c r="C36"/>
  <c r="C45"/>
  <c r="C30"/>
  <c r="C17"/>
  <c r="C20"/>
  <c r="C24"/>
  <c r="C25"/>
  <c r="C18"/>
  <c r="C21"/>
  <c r="B7" i="3"/>
  <c r="B8"/>
  <c r="B9" s="1"/>
  <c r="B10"/>
  <c r="B13" s="1"/>
  <c r="B15"/>
  <c r="B34"/>
  <c r="B33"/>
  <c r="B35"/>
  <c r="B30"/>
  <c r="F9"/>
  <c r="F13"/>
  <c r="F16"/>
  <c r="F35"/>
  <c r="D9"/>
  <c r="D13"/>
  <c r="D16"/>
  <c r="D19"/>
  <c r="D23"/>
  <c r="D29"/>
  <c r="D32"/>
  <c r="D35"/>
  <c r="D37"/>
  <c r="B36"/>
  <c r="B25"/>
  <c r="F19"/>
  <c r="F23"/>
  <c r="F29"/>
  <c r="F32"/>
  <c r="F37"/>
  <c r="F17"/>
  <c r="D17"/>
  <c r="E21" i="36"/>
  <c r="G21"/>
  <c r="I21"/>
  <c r="K21"/>
  <c r="D9" i="8"/>
  <c r="E9"/>
  <c r="B19"/>
  <c r="D19" s="1"/>
  <c r="B17"/>
  <c r="D17" s="1"/>
  <c r="B15"/>
  <c r="D15" s="1"/>
  <c r="E19"/>
  <c r="B9" i="7"/>
  <c r="D9" s="1"/>
  <c r="F15" i="8"/>
  <c r="C73" i="10"/>
  <c r="D26" i="11"/>
  <c r="H10" i="7"/>
  <c r="H11"/>
  <c r="H12"/>
  <c r="H13"/>
  <c r="K6"/>
  <c r="J9" s="1"/>
  <c r="F18" i="8"/>
  <c r="F14"/>
  <c r="F17"/>
  <c r="F16"/>
  <c r="F13"/>
  <c r="F19"/>
  <c r="E62" i="17"/>
  <c r="C8" i="18"/>
  <c r="C13"/>
  <c r="E18"/>
  <c r="D18"/>
  <c r="E15" i="2"/>
  <c r="P15"/>
  <c r="M15"/>
  <c r="L15"/>
  <c r="I15"/>
  <c r="H15"/>
  <c r="C56"/>
  <c r="K14" i="7"/>
  <c r="L14"/>
  <c r="M14"/>
  <c r="I14"/>
  <c r="J14"/>
  <c r="E14"/>
  <c r="F14"/>
  <c r="B14"/>
  <c r="D14"/>
  <c r="C14"/>
  <c r="D32" i="15"/>
  <c r="C23" i="18" s="1"/>
  <c r="C22"/>
  <c r="C12"/>
  <c r="D59" i="2"/>
  <c r="F12" i="8"/>
  <c r="F20"/>
  <c r="D13"/>
  <c r="E15"/>
  <c r="E73" i="10"/>
  <c r="G40" i="2" l="1"/>
  <c r="I40"/>
  <c r="K40"/>
  <c r="M40"/>
  <c r="M67" s="1"/>
  <c r="M68" s="1"/>
  <c r="O40"/>
  <c r="E40"/>
  <c r="F40"/>
  <c r="H40"/>
  <c r="H67" s="1"/>
  <c r="H68" s="1"/>
  <c r="J40"/>
  <c r="L40"/>
  <c r="N40"/>
  <c r="P40"/>
  <c r="P67" s="1"/>
  <c r="P68" s="1"/>
  <c r="F17"/>
  <c r="H17"/>
  <c r="J17"/>
  <c r="L17"/>
  <c r="N17"/>
  <c r="P17"/>
  <c r="G17"/>
  <c r="I17"/>
  <c r="K17"/>
  <c r="M17"/>
  <c r="O17"/>
  <c r="E17"/>
  <c r="L67"/>
  <c r="L68" s="1"/>
  <c r="I67"/>
  <c r="I68" s="1"/>
  <c r="E67"/>
  <c r="E68" s="1"/>
  <c r="F67"/>
  <c r="F68" s="1"/>
  <c r="O67"/>
  <c r="O68" s="1"/>
  <c r="G15"/>
  <c r="G67" s="1"/>
  <c r="G68" s="1"/>
  <c r="J15"/>
  <c r="J67" s="1"/>
  <c r="J68" s="1"/>
  <c r="K15"/>
  <c r="K67" s="1"/>
  <c r="K68" s="1"/>
  <c r="N15"/>
  <c r="N67" s="1"/>
  <c r="N68" s="1"/>
  <c r="C28" i="23"/>
  <c r="C31" s="1"/>
  <c r="C33" s="1"/>
  <c r="I23" i="7"/>
  <c r="K23" s="1"/>
  <c r="C32" i="14"/>
  <c r="C34" s="1"/>
  <c r="C39" s="1"/>
  <c r="C44" s="1"/>
  <c r="C6" i="18"/>
  <c r="B7" i="8"/>
  <c r="D7" s="1"/>
  <c r="E44" i="34"/>
  <c r="E54" i="10" s="1"/>
  <c r="E57" s="1"/>
  <c r="E61" s="1"/>
  <c r="F19" i="11" s="1"/>
  <c r="E48" i="10"/>
  <c r="E55"/>
  <c r="F18" i="11" s="1"/>
  <c r="E30" i="34"/>
  <c r="D55" i="10"/>
  <c r="D48"/>
  <c r="D47"/>
  <c r="C57"/>
  <c r="C48"/>
  <c r="C55"/>
  <c r="D18" i="11" s="1"/>
  <c r="C47" i="10"/>
  <c r="C50" s="1"/>
  <c r="C46" i="2" s="1"/>
  <c r="C47"/>
  <c r="D17" i="11"/>
  <c r="B21" i="3" s="1"/>
  <c r="C56" i="14"/>
  <c r="E18" i="11"/>
  <c r="D61" i="10"/>
  <c r="E19" i="11" s="1"/>
  <c r="G16" i="14"/>
  <c r="G7"/>
  <c r="G11" s="1"/>
  <c r="G46" s="1"/>
  <c r="G32"/>
  <c r="G34" s="1"/>
  <c r="G39" s="1"/>
  <c r="G44" s="1"/>
  <c r="E32"/>
  <c r="E34" s="1"/>
  <c r="E39" s="1"/>
  <c r="E44" s="1"/>
  <c r="E16"/>
  <c r="E7"/>
  <c r="C18"/>
  <c r="C22" s="1"/>
  <c r="C27" s="1"/>
  <c r="C48" s="1"/>
  <c r="C11"/>
  <c r="C46" s="1"/>
  <c r="B16" i="3"/>
  <c r="B17" s="1"/>
  <c r="C16" i="14"/>
  <c r="C5" i="17"/>
  <c r="C62" s="1"/>
  <c r="C21" i="18" s="1"/>
  <c r="D68" i="2" s="1"/>
  <c r="D70" s="1"/>
  <c r="E69" s="1"/>
  <c r="E70" s="1"/>
  <c r="E71" s="1"/>
  <c r="B62" i="17"/>
  <c r="C10" i="18"/>
  <c r="B11" i="8"/>
  <c r="C17" i="39"/>
  <c r="C23"/>
  <c r="B18" i="3"/>
  <c r="C10" i="7"/>
  <c r="E6"/>
  <c r="E9"/>
  <c r="F9" s="1"/>
  <c r="B10" s="1"/>
  <c r="K9"/>
  <c r="L9" s="1"/>
  <c r="M9" s="1"/>
  <c r="I10" s="1"/>
  <c r="L23"/>
  <c r="M23" s="1"/>
  <c r="I24" s="1"/>
  <c r="J24"/>
  <c r="L20"/>
  <c r="L6"/>
  <c r="M6" s="1"/>
  <c r="J10"/>
  <c r="F7" i="8"/>
  <c r="E7"/>
  <c r="E17"/>
  <c r="C17" i="18" l="1"/>
  <c r="D58" i="2" s="1"/>
  <c r="D60" s="1"/>
  <c r="E47" i="10"/>
  <c r="E50" s="1"/>
  <c r="F17" i="11" s="1"/>
  <c r="D50" i="10"/>
  <c r="E17" i="11" s="1"/>
  <c r="B19" i="3"/>
  <c r="C49" i="2"/>
  <c r="C61" i="10"/>
  <c r="D19" i="11" s="1"/>
  <c r="B22" i="3" s="1"/>
  <c r="C50" i="14"/>
  <c r="D69" i="2"/>
  <c r="G18" i="14"/>
  <c r="G22" s="1"/>
  <c r="G27" s="1"/>
  <c r="G48" s="1"/>
  <c r="G50" s="1"/>
  <c r="E11"/>
  <c r="E46" s="1"/>
  <c r="E18"/>
  <c r="E22" s="1"/>
  <c r="E27" s="1"/>
  <c r="E48" s="1"/>
  <c r="C54"/>
  <c r="C58" s="1"/>
  <c r="F11" i="8"/>
  <c r="F21" s="1"/>
  <c r="E63" i="10" s="1"/>
  <c r="E65" s="1"/>
  <c r="F20" i="11" s="1"/>
  <c r="D11" i="8"/>
  <c r="D21" s="1"/>
  <c r="C63" i="10" s="1"/>
  <c r="C65" s="1"/>
  <c r="D20" i="11" s="1"/>
  <c r="B27" i="3" s="1"/>
  <c r="E11" i="8"/>
  <c r="C21" i="39"/>
  <c r="K10" i="7"/>
  <c r="M10"/>
  <c r="I11" s="1"/>
  <c r="F69" i="2"/>
  <c r="F70" s="1"/>
  <c r="F71" s="1"/>
  <c r="E57"/>
  <c r="L10" i="7"/>
  <c r="J11"/>
  <c r="J25"/>
  <c r="D10"/>
  <c r="E10" s="1"/>
  <c r="F10" s="1"/>
  <c r="B11" s="1"/>
  <c r="C11"/>
  <c r="E21" i="8"/>
  <c r="D63" i="10" s="1"/>
  <c r="D65" s="1"/>
  <c r="E20" i="11" s="1"/>
  <c r="M20" i="7"/>
  <c r="C55" i="2"/>
  <c r="K24" i="7"/>
  <c r="L24" s="1"/>
  <c r="M24" s="1"/>
  <c r="I25" s="1"/>
  <c r="C53" i="2"/>
  <c r="F6" i="7"/>
  <c r="B23" i="3" l="1"/>
  <c r="B29"/>
  <c r="D22" i="11"/>
  <c r="D23" s="1"/>
  <c r="C11" i="32"/>
  <c r="E50" i="14"/>
  <c r="C24" i="18"/>
  <c r="C25" s="1"/>
  <c r="C26" s="1"/>
  <c r="C24" i="39"/>
  <c r="C25" s="1"/>
  <c r="C26" s="1"/>
  <c r="I13" s="1"/>
  <c r="I19" s="1"/>
  <c r="I26" s="1"/>
  <c r="E11" i="32"/>
  <c r="F22" i="11"/>
  <c r="F23" s="1"/>
  <c r="K25" i="7"/>
  <c r="H53" i="2"/>
  <c r="E53"/>
  <c r="I53"/>
  <c r="N53"/>
  <c r="J53"/>
  <c r="F53"/>
  <c r="L53"/>
  <c r="M53"/>
  <c r="G53"/>
  <c r="O53"/>
  <c r="P53"/>
  <c r="K53"/>
  <c r="C12" i="7"/>
  <c r="E11"/>
  <c r="F11" s="1"/>
  <c r="B12" s="1"/>
  <c r="E55" i="2"/>
  <c r="P55"/>
  <c r="J55"/>
  <c r="I55"/>
  <c r="G55"/>
  <c r="K55"/>
  <c r="O55"/>
  <c r="F55"/>
  <c r="L55"/>
  <c r="N55"/>
  <c r="H55"/>
  <c r="M55"/>
  <c r="D11" i="32"/>
  <c r="E22" i="11"/>
  <c r="E23" s="1"/>
  <c r="G69" i="2"/>
  <c r="G70" s="1"/>
  <c r="F57"/>
  <c r="D11" i="7"/>
  <c r="J26"/>
  <c r="L25"/>
  <c r="M25" s="1"/>
  <c r="I26" s="1"/>
  <c r="J12"/>
  <c r="K11"/>
  <c r="L11" s="1"/>
  <c r="M11" s="1"/>
  <c r="I12" s="1"/>
  <c r="I13" i="18" l="1"/>
  <c r="D8" i="2" s="1"/>
  <c r="D12" s="1"/>
  <c r="D61" s="1"/>
  <c r="D62" s="1"/>
  <c r="J14" i="39"/>
  <c r="J13" s="1"/>
  <c r="J12"/>
  <c r="K12" i="7"/>
  <c r="K26"/>
  <c r="D12"/>
  <c r="E12" s="1"/>
  <c r="F12" s="1"/>
  <c r="B13" s="1"/>
  <c r="J13"/>
  <c r="L12"/>
  <c r="M12" s="1"/>
  <c r="I13" s="1"/>
  <c r="L26"/>
  <c r="M26" s="1"/>
  <c r="I27" s="1"/>
  <c r="J27"/>
  <c r="G71" i="2"/>
  <c r="C13" i="7"/>
  <c r="I19" i="18" l="1"/>
  <c r="I26" s="1"/>
  <c r="C20" i="7"/>
  <c r="K13"/>
  <c r="D13"/>
  <c r="E13" s="1"/>
  <c r="F13" s="1"/>
  <c r="G57" i="2"/>
  <c r="H69"/>
  <c r="H70" s="1"/>
  <c r="L13" i="7"/>
  <c r="M13" s="1"/>
  <c r="K27"/>
  <c r="L27" s="1"/>
  <c r="M27" s="1"/>
  <c r="J12" i="18" l="1"/>
  <c r="J14"/>
  <c r="J13" s="1"/>
  <c r="B23" i="7"/>
  <c r="D23" s="1"/>
  <c r="C72" i="10" s="1"/>
  <c r="D20" i="7"/>
  <c r="H71" i="2"/>
  <c r="C74" i="10" l="1"/>
  <c r="C78" s="1"/>
  <c r="C3" i="22" s="1"/>
  <c r="D25" i="11"/>
  <c r="D17" i="32"/>
  <c r="C17"/>
  <c r="E17"/>
  <c r="C23" i="7"/>
  <c r="I69" i="2"/>
  <c r="I70" s="1"/>
  <c r="H57"/>
  <c r="E20" i="7" l="1"/>
  <c r="E23"/>
  <c r="C24"/>
  <c r="B31" i="3"/>
  <c r="B32" s="1"/>
  <c r="B37" s="1"/>
  <c r="D31" i="11"/>
  <c r="I71" i="2"/>
  <c r="D39" i="11" l="1"/>
  <c r="D32" s="1"/>
  <c r="D34" s="1"/>
  <c r="C9" i="32" s="1"/>
  <c r="C14" s="1"/>
  <c r="D43" i="11"/>
  <c r="C25" i="7"/>
  <c r="C26" s="1"/>
  <c r="C27" s="1"/>
  <c r="F20"/>
  <c r="C54" i="2"/>
  <c r="C5" i="22"/>
  <c r="C7" s="1"/>
  <c r="C11" s="1"/>
  <c r="F23" i="7"/>
  <c r="B24" s="1"/>
  <c r="J69" i="2"/>
  <c r="J70" s="1"/>
  <c r="I57"/>
  <c r="H4" i="11" l="1"/>
  <c r="C16" i="22"/>
  <c r="C24" s="1"/>
  <c r="A25" i="32"/>
  <c r="C19"/>
  <c r="D24" i="7"/>
  <c r="P54" i="2"/>
  <c r="H54"/>
  <c r="H60" s="1"/>
  <c r="H61" s="1"/>
  <c r="G54"/>
  <c r="G60" s="1"/>
  <c r="G61" s="1"/>
  <c r="O54"/>
  <c r="J54"/>
  <c r="I54"/>
  <c r="I60" s="1"/>
  <c r="I61" s="1"/>
  <c r="F54"/>
  <c r="F60" s="1"/>
  <c r="F61" s="1"/>
  <c r="K54"/>
  <c r="E54"/>
  <c r="E60" s="1"/>
  <c r="E61" s="1"/>
  <c r="E62" s="1"/>
  <c r="L54"/>
  <c r="N54"/>
  <c r="M54"/>
  <c r="J71"/>
  <c r="F62" l="1"/>
  <c r="G62" s="1"/>
  <c r="H62" s="1"/>
  <c r="I62" s="1"/>
  <c r="D72" i="10"/>
  <c r="E24" i="7"/>
  <c r="K69" i="2"/>
  <c r="K70" s="1"/>
  <c r="J57"/>
  <c r="J60" s="1"/>
  <c r="J61" s="1"/>
  <c r="J62" l="1"/>
  <c r="E5" i="22"/>
  <c r="F24" i="7"/>
  <c r="B25" s="1"/>
  <c r="D74" i="10"/>
  <c r="D78" s="1"/>
  <c r="E3" i="22" s="1"/>
  <c r="E7" s="1"/>
  <c r="E11" s="1"/>
  <c r="I4" i="11" s="1"/>
  <c r="E25"/>
  <c r="E31" s="1"/>
  <c r="K71" i="2"/>
  <c r="D25" i="7" l="1"/>
  <c r="E39" i="11"/>
  <c r="E32" s="1"/>
  <c r="E34" s="1"/>
  <c r="D9" i="32" s="1"/>
  <c r="D14" s="1"/>
  <c r="D19" s="1"/>
  <c r="E43" i="11"/>
  <c r="L69" i="2"/>
  <c r="L70" s="1"/>
  <c r="K57"/>
  <c r="K60" s="1"/>
  <c r="K61" s="1"/>
  <c r="K62" s="1"/>
  <c r="E25" i="7" l="1"/>
  <c r="E72" i="10"/>
  <c r="L71" i="2"/>
  <c r="F25" i="11" l="1"/>
  <c r="F31" s="1"/>
  <c r="E74" i="10"/>
  <c r="E78" s="1"/>
  <c r="G3" i="22" s="1"/>
  <c r="G5"/>
  <c r="F25" i="7"/>
  <c r="B26" s="1"/>
  <c r="D26" s="1"/>
  <c r="E26" s="1"/>
  <c r="F26" s="1"/>
  <c r="B27" s="1"/>
  <c r="D27" s="1"/>
  <c r="E27" s="1"/>
  <c r="F27" s="1"/>
  <c r="M69" i="2"/>
  <c r="M70" s="1"/>
  <c r="L57"/>
  <c r="L60" s="1"/>
  <c r="L61" s="1"/>
  <c r="L62" s="1"/>
  <c r="G7" i="22" l="1"/>
  <c r="G11" s="1"/>
  <c r="J4" i="11" s="1"/>
  <c r="F39"/>
  <c r="F32" s="1"/>
  <c r="F34" s="1"/>
  <c r="E9" i="32" s="1"/>
  <c r="E14" s="1"/>
  <c r="E19" s="1"/>
  <c r="F43" i="11"/>
  <c r="M71" i="2"/>
  <c r="N69" l="1"/>
  <c r="N70" s="1"/>
  <c r="M57"/>
  <c r="M60" s="1"/>
  <c r="M61" s="1"/>
  <c r="M62" s="1"/>
  <c r="N71" l="1"/>
  <c r="O69" l="1"/>
  <c r="O70" s="1"/>
  <c r="N57"/>
  <c r="N60" s="1"/>
  <c r="N61" s="1"/>
  <c r="N62" s="1"/>
  <c r="O71" l="1"/>
  <c r="P69" l="1"/>
  <c r="P70" s="1"/>
  <c r="P71" s="1"/>
  <c r="P57" s="1"/>
  <c r="P60" s="1"/>
  <c r="P61" s="1"/>
  <c r="O57"/>
  <c r="O60" s="1"/>
  <c r="O61" s="1"/>
  <c r="O62" s="1"/>
  <c r="P62" l="1"/>
</calcChain>
</file>

<file path=xl/sharedStrings.xml><?xml version="1.0" encoding="utf-8"?>
<sst xmlns="http://schemas.openxmlformats.org/spreadsheetml/2006/main" count="845" uniqueCount="566">
  <si>
    <t xml:space="preserve"> </t>
  </si>
  <si>
    <t xml:space="preserve">BESOINS (EMPLOIS) </t>
  </si>
  <si>
    <t>ACTIF  IMMOBILISE</t>
  </si>
  <si>
    <t xml:space="preserve">            Fonds de Commerce</t>
  </si>
  <si>
    <t xml:space="preserve">            Droit au Bail</t>
  </si>
  <si>
    <t xml:space="preserve">            Constructions</t>
  </si>
  <si>
    <t xml:space="preserve">            Matériel et Outillage</t>
  </si>
  <si>
    <t xml:space="preserve">            Agencements Installations</t>
  </si>
  <si>
    <t xml:space="preserve">            Matériel de Transport</t>
  </si>
  <si>
    <t xml:space="preserve">            Matériel de Bureau</t>
  </si>
  <si>
    <t xml:space="preserve">            Mobilier</t>
  </si>
  <si>
    <t>Total (I)</t>
  </si>
  <si>
    <t>ACTIF CIRCULANT</t>
  </si>
  <si>
    <t>Total (II)</t>
  </si>
  <si>
    <t xml:space="preserve">TOTAL GENERAL </t>
  </si>
  <si>
    <t>. Constructions :</t>
  </si>
  <si>
    <t>. Matériel et Outillage :</t>
  </si>
  <si>
    <t>. Matériel de bureau :</t>
  </si>
  <si>
    <t>. Mobilier :</t>
  </si>
  <si>
    <t xml:space="preserve">TOTAL </t>
  </si>
  <si>
    <t>NATURE :</t>
  </si>
  <si>
    <t>TRESORERIE DE DEPART</t>
  </si>
  <si>
    <t>TOTAL</t>
  </si>
  <si>
    <t>ESTIMATION DU BESOIN EN FONDS DE ROULEMENT</t>
  </si>
  <si>
    <t>CLIENTS</t>
  </si>
  <si>
    <t>Chiffre d'affaires HT</t>
  </si>
  <si>
    <t>Délai Réglement des Clients (en jours)</t>
  </si>
  <si>
    <t>Crédit moyen Clients</t>
  </si>
  <si>
    <t>FOURNISSEURS</t>
  </si>
  <si>
    <t>% Achats par rapport au CA</t>
  </si>
  <si>
    <t>Achats TTC</t>
  </si>
  <si>
    <t xml:space="preserve"> Délai Réglement des Fournisseurs (en jours)</t>
  </si>
  <si>
    <t>Crédit moyen Fournisseurs</t>
  </si>
  <si>
    <t>STOCK</t>
  </si>
  <si>
    <t>Achats HT</t>
  </si>
  <si>
    <t>Délai Moyen de Stockage (en jours)</t>
  </si>
  <si>
    <t>Stock Moyen</t>
  </si>
  <si>
    <t xml:space="preserve"> ESTIMATION DU BFR</t>
  </si>
  <si>
    <t xml:space="preserve">FINANCEMENTS (RESSOURCES) </t>
  </si>
  <si>
    <t>CAPITAUX PROPRES</t>
  </si>
  <si>
    <t xml:space="preserve">              Capital social ou individuel (Numéraire)</t>
  </si>
  <si>
    <t xml:space="preserve">              Capital social ou individuel (Nature)</t>
  </si>
  <si>
    <t>DETTES A LONG ET MOYEN TERME</t>
  </si>
  <si>
    <t xml:space="preserve">              Comptes Courants Associés</t>
  </si>
  <si>
    <t>DETTES A COURT TERME</t>
  </si>
  <si>
    <t xml:space="preserve">              Crédit fournisseurs</t>
  </si>
  <si>
    <t>Total (III)</t>
  </si>
  <si>
    <t>TOTAL GENERAL (I à III)</t>
  </si>
  <si>
    <t xml:space="preserve">COMPTE DE RESULTAT PREVISIONNEL </t>
  </si>
  <si>
    <t>N</t>
  </si>
  <si>
    <t xml:space="preserve">N + 1 </t>
  </si>
  <si>
    <t>N + 2</t>
  </si>
  <si>
    <t>PRODUITS D'EXPLOITATION</t>
  </si>
  <si>
    <t>CHARGES D'EXPLOITATION.</t>
  </si>
  <si>
    <t>Autres achats</t>
  </si>
  <si>
    <t>Autres services extérieurs</t>
  </si>
  <si>
    <t>Impôts taxes et versements assimilés</t>
  </si>
  <si>
    <t>Salaires et traitements</t>
  </si>
  <si>
    <t>Charges sociales</t>
  </si>
  <si>
    <t>Dotations aux amortissements</t>
  </si>
  <si>
    <t>Autres charges de gestion courante</t>
  </si>
  <si>
    <t>PRODUITS et CHARGES  FINANC. et EXCEPTIONN.</t>
  </si>
  <si>
    <t>Produits financiers</t>
  </si>
  <si>
    <t>Produits exceptionnels</t>
  </si>
  <si>
    <t>Charges exceptionnelles</t>
  </si>
  <si>
    <t>N + 1</t>
  </si>
  <si>
    <t xml:space="preserve">           . Electricité Eau Gaz</t>
  </si>
  <si>
    <t xml:space="preserve">           . Produits d'entretien</t>
  </si>
  <si>
    <t xml:space="preserve">           . Petit outillage</t>
  </si>
  <si>
    <t xml:space="preserve">           . Fournitures de bureau</t>
  </si>
  <si>
    <t xml:space="preserve">           .</t>
  </si>
  <si>
    <t xml:space="preserve">           . </t>
  </si>
  <si>
    <t xml:space="preserve">           . Assurances professionnelles</t>
  </si>
  <si>
    <t xml:space="preserve">           . Documentation</t>
  </si>
  <si>
    <t xml:space="preserve">           . Frais de déplacements</t>
  </si>
  <si>
    <t xml:space="preserve">           . Frais de réceptions</t>
  </si>
  <si>
    <t xml:space="preserve">           . Frais postaux</t>
  </si>
  <si>
    <t xml:space="preserve">           . Téléphone, Fax, Internet</t>
  </si>
  <si>
    <t xml:space="preserve">           . Commissions cartes de crédit</t>
  </si>
  <si>
    <t xml:space="preserve">           . Frais et services bancaires</t>
  </si>
  <si>
    <t xml:space="preserve">           . Pourboires et dons</t>
  </si>
  <si>
    <t xml:space="preserve">           . Taxe foncière</t>
  </si>
  <si>
    <t xml:space="preserve">           . Charges sociales des salariés</t>
  </si>
  <si>
    <t xml:space="preserve">           . Cotisations sociales des TNS</t>
  </si>
  <si>
    <t xml:space="preserve">           . Droits SACEM</t>
  </si>
  <si>
    <t xml:space="preserve">           . Redevances (sur franchise, brevets…)</t>
  </si>
  <si>
    <t xml:space="preserve">   TOTAL DES CHARGES FIXES</t>
  </si>
  <si>
    <t>TABLEAU DES AMORTISSEMENTS</t>
  </si>
  <si>
    <t>Investissements</t>
  </si>
  <si>
    <t>Durée "normale" d'utilisation</t>
  </si>
  <si>
    <t>Logiciels</t>
  </si>
  <si>
    <t>Constructions</t>
  </si>
  <si>
    <t>Matériel et Outillage</t>
  </si>
  <si>
    <t>Agenc. Install. Travaux</t>
  </si>
  <si>
    <t>Matériel de Transport</t>
  </si>
  <si>
    <t>Matériel de Bureau</t>
  </si>
  <si>
    <t>Mobilier</t>
  </si>
  <si>
    <t>TAUX</t>
  </si>
  <si>
    <t>EMPRUNT</t>
  </si>
  <si>
    <t>Années</t>
  </si>
  <si>
    <t>Capital</t>
  </si>
  <si>
    <t>Annuité</t>
  </si>
  <si>
    <t>Intérêts</t>
  </si>
  <si>
    <t>initial</t>
  </si>
  <si>
    <t>annuels</t>
  </si>
  <si>
    <t>remboursé</t>
  </si>
  <si>
    <t>restant</t>
  </si>
  <si>
    <t>+</t>
  </si>
  <si>
    <t>=</t>
  </si>
  <si>
    <t>-</t>
  </si>
  <si>
    <t>Selon le cas  A, B, C, D, E,</t>
  </si>
  <si>
    <t>Une seule case est à remplir</t>
  </si>
  <si>
    <t>A)</t>
  </si>
  <si>
    <t>Pourcentage des Achats par Rapport au CA ( en HT)</t>
  </si>
  <si>
    <t>(Exemple: les Achats représentent 40% du CA HT)</t>
  </si>
  <si>
    <t>OU</t>
  </si>
  <si>
    <t>B)</t>
  </si>
  <si>
    <t>Coefficient Multiplicateur d'Achats HT à Ventes TTC</t>
  </si>
  <si>
    <t>à 19,6%</t>
  </si>
  <si>
    <t xml:space="preserve">(Exemple :  Coeff  2,5 de HT à TTC) </t>
  </si>
  <si>
    <t>ou</t>
  </si>
  <si>
    <t>à  5,5%</t>
  </si>
  <si>
    <t>C)</t>
  </si>
  <si>
    <t>Coefficient Multiplicateur d'Achats HT à Ventes HT</t>
  </si>
  <si>
    <t xml:space="preserve">(Exemple :  Coeff  3,5 de HT à HT) </t>
  </si>
  <si>
    <t>D)</t>
  </si>
  <si>
    <t>Taux de Marge sur Prix de Vente TTC</t>
  </si>
  <si>
    <t>(Exemple : 30% sur PV TTC)</t>
  </si>
  <si>
    <t>E)</t>
  </si>
  <si>
    <t>Taux de Marge sur Prix de Vente HT</t>
  </si>
  <si>
    <t>(Exemple : 40% sur PV HT)</t>
  </si>
  <si>
    <t>ENTREES</t>
  </si>
  <si>
    <t>TOTAL RENTREES</t>
  </si>
  <si>
    <t>SORTIES</t>
  </si>
  <si>
    <t>TOTAL SORTIES</t>
  </si>
  <si>
    <t>SOLDES CUMULES</t>
  </si>
  <si>
    <t>CA MINIMUM (Hors Taxes)</t>
  </si>
  <si>
    <t>SOLDES INTERMEDIAIRES DE GESTION</t>
  </si>
  <si>
    <t>RUBRIQUES</t>
  </si>
  <si>
    <t xml:space="preserve">Du ......  au ......     </t>
  </si>
  <si>
    <t>Montant</t>
  </si>
  <si>
    <t>% CA</t>
  </si>
  <si>
    <t>CHIFFRE D'AFFAIRES</t>
  </si>
  <si>
    <t>1 Ventes de marchandises</t>
  </si>
  <si>
    <t>2 - Coût achat des marchandises vendues</t>
  </si>
  <si>
    <t>4 Production vendue</t>
  </si>
  <si>
    <t>5 Production stockée ou destockage</t>
  </si>
  <si>
    <t>6 Production immobilisée</t>
  </si>
  <si>
    <t>8 - Matières premières &amp; approv. consom.</t>
  </si>
  <si>
    <t>9 - Sous-traitance directe</t>
  </si>
  <si>
    <t>12 - Autres achats + charges externes</t>
  </si>
  <si>
    <t>14 + Subvention d'exploitation</t>
  </si>
  <si>
    <t>15 - Impôts et taxes</t>
  </si>
  <si>
    <t>16 - Charges de personnel (A)  (B)</t>
  </si>
  <si>
    <t>18 + Produits de gestion courante</t>
  </si>
  <si>
    <t>19 - Charges de gestion courante</t>
  </si>
  <si>
    <t>20 + Reprises sur amort. &amp; provision (C)</t>
  </si>
  <si>
    <t>21 - Dotations aux amortissements</t>
  </si>
  <si>
    <t>22 - Dotations aux provisisons</t>
  </si>
  <si>
    <t>24 + Produits financiers (D)</t>
  </si>
  <si>
    <t>25 - Charges financières (E)</t>
  </si>
  <si>
    <t>27 + Produits exceptionnels (D)</t>
  </si>
  <si>
    <t>28 - Charges exceptionelles (E)</t>
  </si>
  <si>
    <t>30 - Impôts / bénéfices et participation</t>
  </si>
  <si>
    <t>(A)  Montant des charges sociales exploitant</t>
  </si>
  <si>
    <t>(B)  Y compris la rémunération exploitant</t>
  </si>
  <si>
    <t>(C)  Y compris transfert de charges</t>
  </si>
  <si>
    <t>(D)  Dont opérations en capital</t>
  </si>
  <si>
    <t>(E)  Dont opérations en capital</t>
  </si>
  <si>
    <t>Ventes de Marchandises</t>
  </si>
  <si>
    <t>Services extérieurs</t>
  </si>
  <si>
    <t xml:space="preserve">           . Loyer et charges des Locaux</t>
  </si>
  <si>
    <t xml:space="preserve">           . Cotisations diverses (syndicat profess...)</t>
  </si>
  <si>
    <t xml:space="preserve">           . Intérets des emprunts (Long et Moyen Terme)</t>
  </si>
  <si>
    <t xml:space="preserve">           . Taxe d'apprentissage (sur Salaires)</t>
  </si>
  <si>
    <t>PAR AN</t>
  </si>
  <si>
    <t>PAR MOIS</t>
  </si>
  <si>
    <t>REMBOURST</t>
  </si>
  <si>
    <t>MONTANT</t>
  </si>
  <si>
    <t>NOMBRE</t>
  </si>
  <si>
    <t>D'ANNEES</t>
  </si>
  <si>
    <t>DONT ASSUR</t>
  </si>
  <si>
    <t>Marge brute à réaliser</t>
  </si>
  <si>
    <t>Résultat Courant avant Impôt</t>
  </si>
  <si>
    <t>A acheter</t>
  </si>
  <si>
    <t xml:space="preserve">           . Amortissements des investissements</t>
  </si>
  <si>
    <t xml:space="preserve">    Total des charges fixes       </t>
  </si>
  <si>
    <t>CHIFFRE D'AFFAIRES MINIMUM A REALISER</t>
  </si>
  <si>
    <t xml:space="preserve">            Concessions, logiciels, brevets</t>
  </si>
  <si>
    <t xml:space="preserve">            Dépôts de Garantie, Cautions</t>
  </si>
  <si>
    <t>TVA</t>
  </si>
  <si>
    <t xml:space="preserve">           . Formation Professionnelle (sur Salaires)</t>
  </si>
  <si>
    <t xml:space="preserve">           . Honoraires Expert-Comptable</t>
  </si>
  <si>
    <t>Coût d'achat HT</t>
  </si>
  <si>
    <t>Partie capital des emprunts à rembourser</t>
  </si>
  <si>
    <t>Subventions</t>
  </si>
  <si>
    <t>Electricité Eau Gaz</t>
  </si>
  <si>
    <t>Produits d'entretien</t>
  </si>
  <si>
    <t>Petit outillage</t>
  </si>
  <si>
    <t>Fournitures de bureau</t>
  </si>
  <si>
    <t>Loyer et charges des Locaux</t>
  </si>
  <si>
    <t>Assurances professionnelles</t>
  </si>
  <si>
    <t>Documentation</t>
  </si>
  <si>
    <t>Personnel intérimaire</t>
  </si>
  <si>
    <t>Honoraires Expert-Comptable</t>
  </si>
  <si>
    <t>Autres honoraires</t>
  </si>
  <si>
    <t>Frais de déplacements</t>
  </si>
  <si>
    <t>Frais de réceptions</t>
  </si>
  <si>
    <t>Frais postaux</t>
  </si>
  <si>
    <t>Téléphone, Fax, Internet</t>
  </si>
  <si>
    <t>Commissions cartes de crédit</t>
  </si>
  <si>
    <t>Frais et services bancaires</t>
  </si>
  <si>
    <t>Pourboires et dons</t>
  </si>
  <si>
    <t>TRESORERIE : BUDGET PREVISIONNEL     1ère ANNEE  TTC</t>
  </si>
  <si>
    <t>Impots et Taxes  (Sauf T.V.A.)</t>
  </si>
  <si>
    <t>Cotisations sociales salariés</t>
  </si>
  <si>
    <t>Cotisations sociales TNS</t>
  </si>
  <si>
    <t>Loi Madelin</t>
  </si>
  <si>
    <t>Salaires du Personnel (nets)</t>
  </si>
  <si>
    <t>Salaire Dirigeant (ou Remun TNS)</t>
  </si>
  <si>
    <t>Agios et Frais Bancaires</t>
  </si>
  <si>
    <t>TVA à Payer</t>
  </si>
  <si>
    <t>Investissements TTC</t>
  </si>
  <si>
    <t>Stocks TTC</t>
  </si>
  <si>
    <r>
      <t xml:space="preserve">3 </t>
    </r>
    <r>
      <rPr>
        <b/>
        <sz val="10"/>
        <rFont val="Comic Sans MS"/>
        <family val="4"/>
      </rPr>
      <t>MARGE COMMERCIALE ( 1 - 2 )</t>
    </r>
  </si>
  <si>
    <r>
      <t>7</t>
    </r>
    <r>
      <rPr>
        <b/>
        <sz val="10"/>
        <rFont val="Comic Sans MS"/>
        <family val="4"/>
      </rPr>
      <t xml:space="preserve"> PRODUCTION EXERCICE (4 + 5 + 6)</t>
    </r>
  </si>
  <si>
    <r>
      <t>10</t>
    </r>
    <r>
      <rPr>
        <b/>
        <sz val="10"/>
        <rFont val="Comic Sans MS"/>
        <family val="4"/>
      </rPr>
      <t xml:space="preserve"> MARGE PRODUCTION (7 - (8+9))</t>
    </r>
  </si>
  <si>
    <r>
      <t>11</t>
    </r>
    <r>
      <rPr>
        <b/>
        <sz val="10"/>
        <rFont val="Comic Sans MS"/>
        <family val="4"/>
      </rPr>
      <t xml:space="preserve"> MARGE BRUTE GLOBALE (3 + 10)</t>
    </r>
  </si>
  <si>
    <r>
      <t xml:space="preserve">13 </t>
    </r>
    <r>
      <rPr>
        <b/>
        <sz val="10"/>
        <rFont val="Comic Sans MS"/>
        <family val="4"/>
      </rPr>
      <t>VALEUR AJOUTEE (3 + 10 -12)</t>
    </r>
  </si>
  <si>
    <r>
      <t>17</t>
    </r>
    <r>
      <rPr>
        <b/>
        <sz val="10"/>
        <rFont val="Comic Sans MS"/>
        <family val="4"/>
      </rPr>
      <t xml:space="preserve"> EXCEDENT OU INSUFFISANCE BRUT(E) D'EXPLOITATION (13+14+15+16)</t>
    </r>
  </si>
  <si>
    <r>
      <t>23</t>
    </r>
    <r>
      <rPr>
        <b/>
        <sz val="10"/>
        <rFont val="Comic Sans MS"/>
        <family val="4"/>
      </rPr>
      <t xml:space="preserve"> RESULTAT D'EXPLOITATION (17+18-19+20-21-22)</t>
    </r>
  </si>
  <si>
    <r>
      <t>26</t>
    </r>
    <r>
      <rPr>
        <b/>
        <sz val="10"/>
        <rFont val="Comic Sans MS"/>
        <family val="4"/>
      </rPr>
      <t xml:space="preserve"> RESULTAT COURANT (23+24-25)</t>
    </r>
  </si>
  <si>
    <r>
      <t>29</t>
    </r>
    <r>
      <rPr>
        <b/>
        <sz val="10"/>
        <rFont val="Comic Sans MS"/>
        <family val="4"/>
      </rPr>
      <t xml:space="preserve"> RESULTAT EXCEPTIONNEL (27-28)</t>
    </r>
  </si>
  <si>
    <r>
      <t>31</t>
    </r>
    <r>
      <rPr>
        <b/>
        <sz val="10"/>
        <rFont val="Comic Sans MS"/>
        <family val="4"/>
      </rPr>
      <t xml:space="preserve"> RESULTAT NET (26+29 -30)</t>
    </r>
  </si>
  <si>
    <t xml:space="preserve">           . Rémunération du Dirigeant TNS</t>
  </si>
  <si>
    <t xml:space="preserve">           . Rémunération du Dirigeant Salarié</t>
  </si>
  <si>
    <t xml:space="preserve">           . Personnel salarié</t>
  </si>
  <si>
    <t>Publicité, communication</t>
  </si>
  <si>
    <t>Cotisations diverses</t>
  </si>
  <si>
    <t xml:space="preserve">             TVA sur stocks </t>
  </si>
  <si>
    <t xml:space="preserve">             TVA sur investissements</t>
  </si>
  <si>
    <t>( A UN AN )</t>
  </si>
  <si>
    <t>Chiffre d'Affaires TTC</t>
  </si>
  <si>
    <t>(CA TTC divisé par 365 et multiplié par délai clients)</t>
  </si>
  <si>
    <t>(CA TTC multiplié par le % des Achats)</t>
  </si>
  <si>
    <t>EVALUATION DES CREANCES CLIENTS</t>
  </si>
  <si>
    <t>EVALUATION DU CREDIT FOURNISSEURS</t>
  </si>
  <si>
    <t>CHIFFRAGE DU STOCK</t>
  </si>
  <si>
    <t>(Achats TTC divisé par 365 et multiplié par le délai)</t>
  </si>
  <si>
    <t>(CA HT multiplié par le % des Achats)</t>
  </si>
  <si>
    <t>(Achats HT divisé par 365 et multiplié par le délai)</t>
  </si>
  <si>
    <t xml:space="preserve">              Autres Emprunts (PCE….)</t>
  </si>
  <si>
    <t>1er Jour</t>
  </si>
  <si>
    <t>1er JOUR</t>
  </si>
  <si>
    <t>CA TTC</t>
  </si>
  <si>
    <t>TVA Collectée</t>
  </si>
  <si>
    <t>TVA Déductible</t>
  </si>
  <si>
    <t>Biens Services TTC</t>
  </si>
  <si>
    <t>TVA Due</t>
  </si>
  <si>
    <t>SOLDES MENSUELS</t>
  </si>
  <si>
    <t>TVA à Déduire</t>
  </si>
  <si>
    <t xml:space="preserve">                       Ratio Apports / Ressources</t>
  </si>
  <si>
    <t>CHARGES VARIABLES</t>
  </si>
  <si>
    <t>CHIFFRE D'AFFAIRES TOTAL</t>
  </si>
  <si>
    <t>TOTAL CHARGES VARIABLES</t>
  </si>
  <si>
    <t>MARGE BRUTE</t>
  </si>
  <si>
    <t>TAUX PONDERE DE MARGE BRUTE</t>
  </si>
  <si>
    <t>Chiffre d'Affaires Total</t>
  </si>
  <si>
    <t>INDIQUER LE TAUX  DE  MARGE</t>
  </si>
  <si>
    <t xml:space="preserve"> COMPLEMENT DE BFR A PREVOIR</t>
  </si>
  <si>
    <t>CLIENTS - FOURNISSEURS</t>
  </si>
  <si>
    <t>COMPLEMENT BFR</t>
  </si>
  <si>
    <t>Apports Numéraire</t>
  </si>
  <si>
    <t>COEFFICIENTS MULTIPLICATEURS ET TAUX DE MARGE</t>
  </si>
  <si>
    <t>Taux de</t>
  </si>
  <si>
    <t>MARGE</t>
  </si>
  <si>
    <t>Nombre Semaines…</t>
  </si>
  <si>
    <t>Nombre de Jours…</t>
  </si>
  <si>
    <t>Panier Moyen…</t>
  </si>
  <si>
    <t>CALCUL DES INTERETS DES EMPRUNTS</t>
  </si>
  <si>
    <t xml:space="preserve">              Prêt d'Honneur PFIL</t>
  </si>
  <si>
    <t xml:space="preserve">              Emprunt Bancaire</t>
  </si>
  <si>
    <t>……</t>
  </si>
  <si>
    <t>IS =</t>
  </si>
  <si>
    <t xml:space="preserve">     CALCUL DE LA CAPACITE D'AUTOFINANCEMENT "CAF"</t>
  </si>
  <si>
    <t>Résultat Net après Impôt</t>
  </si>
  <si>
    <t>CAF</t>
  </si>
  <si>
    <t>RESULTAT NET</t>
  </si>
  <si>
    <t>RESULTAT D'EXPLOITATION</t>
  </si>
  <si>
    <t>Total Charges (Fixes et Variables)</t>
  </si>
  <si>
    <t>Total Produits d'Exploitation</t>
  </si>
  <si>
    <t>Intérêts des Emprunts</t>
  </si>
  <si>
    <t>Agios</t>
  </si>
  <si>
    <t>ANNUITE(s) D'EMPRUNTS</t>
  </si>
  <si>
    <t xml:space="preserve"> - Si les dividendes ne sont pas distribués</t>
  </si>
  <si>
    <t xml:space="preserve"> - Si les dividendes sont distribués</t>
  </si>
  <si>
    <t>CALCUL IMPOT sur BENEFICES  "IS"</t>
  </si>
  <si>
    <t xml:space="preserve">        AUTRES ACHATS</t>
  </si>
  <si>
    <t xml:space="preserve">        SERVICES EXTERIEURS</t>
  </si>
  <si>
    <t xml:space="preserve">        AUTRES SERVICES EXTERIEURS</t>
  </si>
  <si>
    <t xml:space="preserve">        IMPOTS ET TAXES (sauf TVA)</t>
  </si>
  <si>
    <t xml:space="preserve">        SALAIRES ET TRAITEMENTS</t>
  </si>
  <si>
    <t xml:space="preserve">        CHARGES SOCIALES</t>
  </si>
  <si>
    <t xml:space="preserve">        AMORTISSEMENTS</t>
  </si>
  <si>
    <t xml:space="preserve">        AUTRES CHARGES DE GESTION</t>
  </si>
  <si>
    <t xml:space="preserve">        CHARGES FINANCIERES</t>
  </si>
  <si>
    <t xml:space="preserve">        CHARGES EXCEPTIONNELLES</t>
  </si>
  <si>
    <t>Taux de Marge Brute</t>
  </si>
  <si>
    <t>Ceci est un exemple…</t>
  </si>
  <si>
    <t xml:space="preserve">               CORRELATION AVEC L'ETUDE DE MARCHE</t>
  </si>
  <si>
    <t>D'où Nombre de Clients par Jour…</t>
  </si>
  <si>
    <t>TTC</t>
  </si>
  <si>
    <t xml:space="preserve"> Ventes au comptant TTC</t>
  </si>
  <si>
    <t>Droits   =</t>
  </si>
  <si>
    <t xml:space="preserve">Impôt sur les bénéfices  IS   </t>
  </si>
  <si>
    <t>Calcul des Cotisations TNS</t>
  </si>
  <si>
    <t>N+1</t>
  </si>
  <si>
    <t>N+2</t>
  </si>
  <si>
    <t xml:space="preserve">Bénéfice de l'entreprise ou </t>
  </si>
  <si>
    <t>Rémunération du Gérant majoritaire de la Société :</t>
  </si>
  <si>
    <t>Cotisations :</t>
  </si>
  <si>
    <t xml:space="preserve">          CALCUL DE LA MASSE SALARIALE</t>
  </si>
  <si>
    <t>Salaire brut</t>
  </si>
  <si>
    <t>Mensuel</t>
  </si>
  <si>
    <t>Nombre</t>
  </si>
  <si>
    <t>de Mois</t>
  </si>
  <si>
    <t>Salaire Brut</t>
  </si>
  <si>
    <t>Annuel</t>
  </si>
  <si>
    <t>SALAIRES ANNUELS</t>
  </si>
  <si>
    <t>Nature des Fonctions des Salariés</t>
  </si>
  <si>
    <t>DE MOIS</t>
  </si>
  <si>
    <t>FINANCE</t>
  </si>
  <si>
    <t>AGIOS</t>
  </si>
  <si>
    <t xml:space="preserve">           . Agios bancaires (Escomptes, Facilités…)</t>
  </si>
  <si>
    <t>RAPPELS</t>
  </si>
  <si>
    <t>Rembourst  PFIL mensuel</t>
  </si>
  <si>
    <t>Rembourst  Banque mensuel</t>
  </si>
  <si>
    <t>Rembourst  PCE mensuel</t>
  </si>
  <si>
    <t>Dont apports des autres associés :</t>
  </si>
  <si>
    <t xml:space="preserve">  A complèter </t>
  </si>
  <si>
    <t>à adapter en fonction des besoins…</t>
  </si>
  <si>
    <t>ANNEE N</t>
  </si>
  <si>
    <t>ANNEE N + 1</t>
  </si>
  <si>
    <t>ANNEE N + 2</t>
  </si>
  <si>
    <t>Montant HT des Loyers Crédit Bail</t>
  </si>
  <si>
    <t xml:space="preserve">La valeur de rachat est de 1% à la fin </t>
  </si>
  <si>
    <t xml:space="preserve">           . Mutuelles (Loi Madelin…)</t>
  </si>
  <si>
    <t xml:space="preserve">           . Médecine du Travail</t>
  </si>
  <si>
    <t xml:space="preserve">             Stock de matières premières</t>
  </si>
  <si>
    <t xml:space="preserve">             Stock de matières marchandises</t>
  </si>
  <si>
    <t>du contrat.</t>
  </si>
  <si>
    <t xml:space="preserve">             Besoin de trésorerie de départ</t>
  </si>
  <si>
    <t xml:space="preserve">             BFR à un an</t>
  </si>
  <si>
    <t>Clientèle ou Droit au Bail et Pas de Porte.</t>
  </si>
  <si>
    <r>
      <t xml:space="preserve">Calcul automatique des </t>
    </r>
    <r>
      <rPr>
        <b/>
        <u/>
        <sz val="12"/>
        <rFont val="Comic Sans MS"/>
        <family val="4"/>
      </rPr>
      <t>Droits de Mutation</t>
    </r>
    <r>
      <rPr>
        <b/>
        <sz val="12"/>
        <rFont val="Comic Sans MS"/>
        <family val="4"/>
      </rPr>
      <t xml:space="preserve"> sur Fonds,</t>
    </r>
  </si>
  <si>
    <t>Total</t>
  </si>
  <si>
    <t>Logiciels  N+1</t>
  </si>
  <si>
    <t>Matériel et Outillage  N+1</t>
  </si>
  <si>
    <t>Agenc. Install. Travaux  N+1</t>
  </si>
  <si>
    <t>Matériel de Transport  N+1</t>
  </si>
  <si>
    <t>Matériel de Bureau  N+1</t>
  </si>
  <si>
    <t>Mobilier  N+1</t>
  </si>
  <si>
    <t>( en % du CA )</t>
  </si>
  <si>
    <t xml:space="preserve"> Emprunts MT et CT</t>
  </si>
  <si>
    <t>ANALYSE DE BILANS</t>
  </si>
  <si>
    <t>Ventes de Biens</t>
  </si>
  <si>
    <t>Ventes de Services</t>
  </si>
  <si>
    <t>Achats de Marchandises</t>
  </si>
  <si>
    <t>Achats de Matières Premières</t>
  </si>
  <si>
    <t xml:space="preserve">     Chiffre d'affaires net</t>
  </si>
  <si>
    <t xml:space="preserve">     Achats Consommés </t>
  </si>
  <si>
    <t>Marge Brute</t>
  </si>
  <si>
    <t>Marge Commerciale (Marchandises)</t>
  </si>
  <si>
    <t>Taux de Marge Commerciale</t>
  </si>
  <si>
    <t>Marge de Production (Produits &amp; Services)</t>
  </si>
  <si>
    <t>Taux de Marge de Production</t>
  </si>
  <si>
    <t>Total des Charges d'Exploitation</t>
  </si>
  <si>
    <t>Resultat Courant avant Impôts</t>
  </si>
  <si>
    <t>Stock Matières Premières</t>
  </si>
  <si>
    <t>Stock Marchandises</t>
  </si>
  <si>
    <t xml:space="preserve">     Total Stocks</t>
  </si>
  <si>
    <t>Clients et Comptes Rattachés</t>
  </si>
  <si>
    <t xml:space="preserve">          Rotation des Stocks</t>
  </si>
  <si>
    <t>CA Assujetti à 19,6%</t>
  </si>
  <si>
    <t>CA Assujetti à 5,5%</t>
  </si>
  <si>
    <t>CA exonéré</t>
  </si>
  <si>
    <t xml:space="preserve">     Taux Moyen de TVA</t>
  </si>
  <si>
    <t xml:space="preserve">          Délai moyen de règlement des clients</t>
  </si>
  <si>
    <t>Dettes fournisseurs et comptes rattachés</t>
  </si>
  <si>
    <t xml:space="preserve">          Délai moyen de règlement fournisseurs</t>
  </si>
  <si>
    <t xml:space="preserve">     Taux de Marge Brute</t>
  </si>
  <si>
    <t>en jours</t>
  </si>
  <si>
    <r>
      <t xml:space="preserve">Variation Stock Marchandises </t>
    </r>
    <r>
      <rPr>
        <b/>
        <sz val="10"/>
        <rFont val="Arial"/>
        <family val="2"/>
      </rPr>
      <t>( + ou - )</t>
    </r>
  </si>
  <si>
    <r>
      <t xml:space="preserve">Variation Stocks Matières Premières </t>
    </r>
    <r>
      <rPr>
        <b/>
        <sz val="10"/>
        <rFont val="Arial"/>
        <family val="2"/>
      </rPr>
      <t>( + ou - )</t>
    </r>
  </si>
  <si>
    <t>PLAN DE FINANCEMENT:  EMPLOIS</t>
  </si>
  <si>
    <t>. Concess, logiciels, brevets :</t>
  </si>
  <si>
    <t>. Fonds commerce, Clientèle :</t>
  </si>
  <si>
    <t>. Droit Bail, Pas de Porte :</t>
  </si>
  <si>
    <t>. Mat Transport,Véhicules :</t>
  </si>
  <si>
    <t>. Dépôts Garantie, Cautions :</t>
  </si>
  <si>
    <t>. Agenc.ts Install. Travaux :</t>
  </si>
  <si>
    <t>Possédé</t>
  </si>
  <si>
    <t>PLAN DE FINANCEMENT:  RESSOURCES</t>
  </si>
  <si>
    <t>indiquer le montant de l'IS calculé ci-dessous.</t>
  </si>
  <si>
    <t>Si l'entreprise est une Sarl, Eurl (option IS) ou SA. . .</t>
  </si>
  <si>
    <t>http://www.canam.fr/docs/module.php</t>
  </si>
  <si>
    <t xml:space="preserve">           . Charges exceptionnelles (Contraventions...)</t>
  </si>
  <si>
    <t xml:space="preserve">           . Provisions</t>
  </si>
  <si>
    <t xml:space="preserve">Pour ces charges variables il convient </t>
  </si>
  <si>
    <t>dans la formule d'indiquer à quel élément</t>
  </si>
  <si>
    <t>elles se réfèrent ( CA TOTAL ou CA partiel…)</t>
  </si>
  <si>
    <t>(Le total doit faire 100 naturlich !)</t>
  </si>
  <si>
    <t>en % du CA TOTAL HT</t>
  </si>
  <si>
    <t xml:space="preserve"> Encaissements Clients à 30 Jours</t>
  </si>
  <si>
    <t xml:space="preserve"> Encaissements Clients à 60 Jours</t>
  </si>
  <si>
    <t xml:space="preserve">                                          CALCUL DU TAUX PONDERE DE MARGE BRUTE</t>
  </si>
  <si>
    <t>Taux</t>
  </si>
  <si>
    <t>BFR = (Stock + Clients - Fournisseurs)</t>
  </si>
  <si>
    <t>% du CA Assujetti à 19,6%</t>
  </si>
  <si>
    <t>% du CA Assujetti à 5,5%</t>
  </si>
  <si>
    <t>% du CA Exonéré</t>
  </si>
  <si>
    <t>Taux Moyen de TVA ;</t>
  </si>
  <si>
    <t>Achats Mat.Premières &amp; March.%</t>
  </si>
  <si>
    <t>Nom du Dossier</t>
  </si>
  <si>
    <t>Il convient généralement que la CAF couvre au moins deux fois les annuités d'emprunts.</t>
  </si>
  <si>
    <t>Si le Véhicule est pris en location LD</t>
  </si>
  <si>
    <t>ou en Crédit Bail, le faire figurer quand même et</t>
  </si>
  <si>
    <t>Si le Matériel est pris en location LD</t>
  </si>
  <si>
    <t>Trésorerie de départ nécessaire au démarrage de l'activité</t>
  </si>
  <si>
    <t xml:space="preserve"> . Petit outillage</t>
  </si>
  <si>
    <t xml:space="preserve"> . Fournitures de Bureau</t>
  </si>
  <si>
    <t xml:space="preserve"> . Premiers Loyers</t>
  </si>
  <si>
    <t xml:space="preserve"> . Premiers salaires nets du personnel</t>
  </si>
  <si>
    <t xml:space="preserve"> . Ma rémunération nette</t>
  </si>
  <si>
    <t xml:space="preserve"> . Autres</t>
  </si>
  <si>
    <t xml:space="preserve">            .Vêtements de travail</t>
  </si>
  <si>
    <t xml:space="preserve">            .Carburant</t>
  </si>
  <si>
    <t xml:space="preserve">           . Crédit bail</t>
  </si>
  <si>
    <t xml:space="preserve">           . Entretien des véhicules</t>
  </si>
  <si>
    <t xml:space="preserve">           . Entretien du matériel</t>
  </si>
  <si>
    <t xml:space="preserve">           . Formation</t>
  </si>
  <si>
    <t xml:space="preserve">           . Entretien des locaux (par Sté extérieure)</t>
  </si>
  <si>
    <t xml:space="preserve">           . Personnel intérimaire</t>
  </si>
  <si>
    <t xml:space="preserve">           . Publicité, communication commerciale</t>
  </si>
  <si>
    <t>Pour un contrat de 5 ans, en général,</t>
  </si>
  <si>
    <t xml:space="preserve">                            % du CA :</t>
  </si>
  <si>
    <t>Exemples de charges variables :</t>
  </si>
  <si>
    <t xml:space="preserve">Indiquer le taux de chacune des charges variables </t>
  </si>
  <si>
    <t>Achats matières premières, marchandises, emballages,</t>
  </si>
  <si>
    <t>sous-traitance, intérim…</t>
  </si>
  <si>
    <t>Répartition des Ventes</t>
  </si>
  <si>
    <t>VENTES (par familles)</t>
  </si>
  <si>
    <t>Carburant</t>
  </si>
  <si>
    <t>Vêtements de travail</t>
  </si>
  <si>
    <t>Formation</t>
  </si>
  <si>
    <t>Crédit bail</t>
  </si>
  <si>
    <t>Location Matériels</t>
  </si>
  <si>
    <t>Entretien des véhicules</t>
  </si>
  <si>
    <t>Entretien du matériel</t>
  </si>
  <si>
    <t>Entretien des locaux (par Sté)</t>
  </si>
  <si>
    <t>Autres charges (Sacem…)</t>
  </si>
  <si>
    <t xml:space="preserve">                              MOIS</t>
  </si>
  <si>
    <t>Banque avec PCE</t>
  </si>
  <si>
    <t xml:space="preserve">    Avant modification Case PCE</t>
  </si>
  <si>
    <t>Rappel des CA Minimum à réaliser.</t>
  </si>
  <si>
    <t>DETAIL DES CHARGES FIXES                  Page 1/2</t>
  </si>
  <si>
    <t>DETAIL DES CHARGES FIXES                  Page 2/2</t>
  </si>
  <si>
    <t>TOTAL DES AMORTISSEMENTS</t>
  </si>
  <si>
    <t>Amortiss  Année 1</t>
  </si>
  <si>
    <t>Amortiss  Année 2</t>
  </si>
  <si>
    <t>Amortiss  Année 3</t>
  </si>
  <si>
    <t>Répartition du CA selon les Taux de TVA</t>
  </si>
  <si>
    <t xml:space="preserve">     DETAIL DES INVESTISSEMENTS   Page 1/2</t>
  </si>
  <si>
    <t>Marchand</t>
  </si>
  <si>
    <t>Mat Prem</t>
  </si>
  <si>
    <t>Nombre  (*)</t>
  </si>
  <si>
    <t>(*)  Mois ou fois</t>
  </si>
  <si>
    <t>PCE Envisageable</t>
  </si>
  <si>
    <t xml:space="preserve">           . Taxe Professionnelle</t>
  </si>
  <si>
    <t>Calcul du Taux moyen de TVA</t>
  </si>
  <si>
    <t>Taux de TVA:</t>
  </si>
  <si>
    <t>le Taux de l'IS est de 15% sur les 1ers 38120 euros</t>
  </si>
  <si>
    <t>puis de 33,33% sur les suivants.</t>
  </si>
  <si>
    <t>le Taux de l'IS est de 33,33% sur la totalité</t>
  </si>
  <si>
    <t>Mensualité = Coût Achat HT    X</t>
  </si>
  <si>
    <t>% variable selon les</t>
  </si>
  <si>
    <t>organismes bancaires</t>
  </si>
  <si>
    <t xml:space="preserve">              Subventions (AGEFIPH, iDéclic…)</t>
  </si>
  <si>
    <t>TVA, Escompte, Facilités caisse, Dailly…</t>
  </si>
  <si>
    <t xml:space="preserve">              Crédits Court Terme</t>
  </si>
  <si>
    <t>coût d'achat théorique  :</t>
  </si>
  <si>
    <t>H T</t>
  </si>
  <si>
    <t xml:space="preserve">           . Location Matériels (mopieur)</t>
  </si>
  <si>
    <t xml:space="preserve"> . Documentation et abonnements</t>
  </si>
  <si>
    <t>EVALUATION DES STOCKS</t>
  </si>
  <si>
    <t>A acheter HT</t>
  </si>
  <si>
    <t>Déjà possédé</t>
  </si>
  <si>
    <t xml:space="preserve">              Acomptes reçus sur commandes Clients</t>
  </si>
  <si>
    <t xml:space="preserve"> . Carburant</t>
  </si>
  <si>
    <t>Charte graphique : identité visuelle</t>
  </si>
  <si>
    <t>Site vitrine</t>
  </si>
  <si>
    <t xml:space="preserve"> . Nom de domaine</t>
  </si>
  <si>
    <t xml:space="preserve">Frais d'établissement : </t>
  </si>
  <si>
    <t>Honoraires consitutions (avocat)</t>
  </si>
  <si>
    <t>Frais de greffe, annonce légale …</t>
  </si>
  <si>
    <t>Frais d'agence</t>
  </si>
  <si>
    <t>Communication et publicité de départ :</t>
  </si>
  <si>
    <t>Prévisionnel</t>
  </si>
  <si>
    <t>Signalétique</t>
  </si>
  <si>
    <t xml:space="preserve"> ……</t>
  </si>
  <si>
    <t xml:space="preserve">              Avance Remboursable Etat NACRE</t>
  </si>
  <si>
    <t>Achats de marchandises, matières premières</t>
  </si>
  <si>
    <t>RATIO CAF / ANNUITES D'EMPRUNTS</t>
  </si>
  <si>
    <t xml:space="preserve">              Prêt d'Honneur LI</t>
  </si>
  <si>
    <t>…</t>
  </si>
  <si>
    <t xml:space="preserve"> …</t>
  </si>
  <si>
    <t>Imprimerie de départ (carte visite, entête …)</t>
  </si>
  <si>
    <t xml:space="preserve"> . Assurances (RC + auto)</t>
  </si>
  <si>
    <t xml:space="preserve"> . Dépôt marque</t>
  </si>
  <si>
    <t xml:space="preserve"> . Recherche de disponibilité</t>
  </si>
  <si>
    <t>Office</t>
  </si>
  <si>
    <t>Photoshop</t>
  </si>
  <si>
    <t>Dreamweaver</t>
  </si>
  <si>
    <t>Ordinateur</t>
  </si>
  <si>
    <t>Ordinateur portable</t>
  </si>
  <si>
    <t>Téléphone portable</t>
  </si>
  <si>
    <t>Imprimante</t>
  </si>
  <si>
    <t xml:space="preserve">  50 € sur 40 semaines</t>
  </si>
  <si>
    <t xml:space="preserve">  Cartouches + ramettes + fournitures diverses</t>
  </si>
  <si>
    <t xml:space="preserve">  Pneu</t>
  </si>
  <si>
    <t>20000 Km</t>
  </si>
  <si>
    <t xml:space="preserve"> . Téléphone portable + fixe (ipad)</t>
  </si>
  <si>
    <t xml:space="preserve">RC HT : </t>
  </si>
  <si>
    <t xml:space="preserve">Auto HT : </t>
  </si>
  <si>
    <t xml:space="preserve">              Compte courant</t>
  </si>
  <si>
    <t>Yooda SeeUrank Falcon</t>
  </si>
  <si>
    <t>Allizéo Web</t>
  </si>
  <si>
    <t>Amenagement bureau</t>
  </si>
  <si>
    <t>Stagiaire ou alternance</t>
  </si>
  <si>
    <t>CDI</t>
  </si>
  <si>
    <t>Stagiaire</t>
  </si>
  <si>
    <t>stagiaire</t>
  </si>
  <si>
    <t>Dossier sans SST</t>
  </si>
  <si>
    <t>Dossiers avec SST</t>
  </si>
  <si>
    <t xml:space="preserve">           . Autres honoraires (avocat)</t>
  </si>
  <si>
    <t>Canapé Literie</t>
  </si>
  <si>
    <t>Meubles Elmo</t>
  </si>
  <si>
    <t>Meubles Com 9</t>
  </si>
  <si>
    <t>Literie Canapé</t>
  </si>
  <si>
    <t>Meubles Portugais</t>
  </si>
  <si>
    <t>Mister Barbecue</t>
  </si>
  <si>
    <t>Cap'Temps</t>
  </si>
  <si>
    <t>Avril</t>
  </si>
  <si>
    <t>Mai</t>
  </si>
  <si>
    <t>Juin</t>
  </si>
  <si>
    <t>Juillet</t>
  </si>
  <si>
    <t>Août</t>
  </si>
  <si>
    <t>Septembre</t>
  </si>
  <si>
    <t>Int : 30€ + portable 20</t>
  </si>
  <si>
    <t xml:space="preserve">           . Téléphone mobile</t>
  </si>
  <si>
    <t>Auris magnetic échéance</t>
  </si>
  <si>
    <t>Auris magnetic payé</t>
  </si>
  <si>
    <t xml:space="preserve">     Total</t>
  </si>
  <si>
    <t>Facturé
01/06/2012</t>
  </si>
  <si>
    <t>Facturé
01/08/2012</t>
  </si>
  <si>
    <t>Facturé
01/10/2012</t>
  </si>
</sst>
</file>

<file path=xl/styles.xml><?xml version="1.0" encoding="utf-8"?>
<styleSheet xmlns="http://schemas.openxmlformats.org/spreadsheetml/2006/main">
  <numFmts count="10">
    <numFmt numFmtId="6" formatCode="#,##0\ &quot;€&quot;;[Red]\-#,##0\ &quot;€&quot;"/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1]_-;\-* #,##0.00\ [$€-1]_-;_-* &quot;-&quot;??\ [$€-1]_-"/>
    <numFmt numFmtId="167" formatCode="#,##0\ &quot;F&quot;"/>
    <numFmt numFmtId="168" formatCode="0.0%"/>
    <numFmt numFmtId="169" formatCode="#,##0_ ;[Red]\-#,##0\ "/>
    <numFmt numFmtId="170" formatCode="0.000%"/>
    <numFmt numFmtId="171" formatCode="[$-40C]mmm;@"/>
    <numFmt numFmtId="172" formatCode="_-* #,##0.00\ [$€-40C]_-;\-* #,##0.00\ [$€-40C]_-;_-* &quot;-&quot;??\ [$€-40C]_-;_-@_-"/>
  </numFmts>
  <fonts count="55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mic Sans MS"/>
      <family val="4"/>
    </font>
    <font>
      <b/>
      <sz val="14"/>
      <name val="Comic Sans MS"/>
      <family val="4"/>
    </font>
    <font>
      <sz val="14"/>
      <color indexed="10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i/>
      <sz val="11"/>
      <name val="Comic Sans MS"/>
      <family val="4"/>
    </font>
    <font>
      <b/>
      <sz val="11"/>
      <color indexed="8"/>
      <name val="Comic Sans MS"/>
      <family val="4"/>
    </font>
    <font>
      <sz val="16"/>
      <name val="Comic Sans MS"/>
      <family val="4"/>
    </font>
    <font>
      <b/>
      <sz val="16"/>
      <name val="Comic Sans MS"/>
      <family val="4"/>
    </font>
    <font>
      <b/>
      <sz val="12"/>
      <color indexed="8"/>
      <name val="Comic Sans MS"/>
      <family val="4"/>
    </font>
    <font>
      <b/>
      <sz val="8"/>
      <name val="Comic Sans MS"/>
      <family val="4"/>
    </font>
    <font>
      <sz val="10"/>
      <color indexed="8"/>
      <name val="Comic Sans MS"/>
      <family val="4"/>
    </font>
    <font>
      <sz val="10"/>
      <color indexed="10"/>
      <name val="Comic Sans MS"/>
      <family val="4"/>
    </font>
    <font>
      <b/>
      <sz val="10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indexed="10"/>
      <name val="Comic Sans MS"/>
      <family val="4"/>
    </font>
    <font>
      <sz val="12"/>
      <name val="Arial"/>
      <family val="2"/>
    </font>
    <font>
      <b/>
      <sz val="12"/>
      <color indexed="10"/>
      <name val="Comic Sans MS"/>
      <family val="4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u/>
      <sz val="12"/>
      <name val="Comic Sans MS"/>
      <family val="4"/>
    </font>
    <font>
      <b/>
      <sz val="11"/>
      <name val="Arial"/>
      <family val="2"/>
    </font>
    <font>
      <sz val="11"/>
      <color indexed="63"/>
      <name val="Comic Sans MS"/>
      <family val="4"/>
    </font>
    <font>
      <b/>
      <sz val="12"/>
      <color indexed="63"/>
      <name val="Comic Sans MS"/>
      <family val="4"/>
    </font>
    <font>
      <b/>
      <sz val="10"/>
      <color indexed="8"/>
      <name val="Comic Sans MS"/>
      <family val="4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Comic Sans MS"/>
      <family val="4"/>
    </font>
    <font>
      <b/>
      <sz val="10"/>
      <color rgb="FF00B050"/>
      <name val="Comic Sans MS"/>
      <family val="4"/>
    </font>
    <font>
      <b/>
      <sz val="10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8" tint="0.39997558519241921"/>
        <bgColor indexed="64"/>
      </patternFill>
    </fill>
  </fills>
  <borders count="8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8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Border="1"/>
    <xf numFmtId="0" fontId="14" fillId="0" borderId="0" xfId="0" applyFont="1" applyFill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0" xfId="0" applyNumberFormat="1" applyFont="1"/>
    <xf numFmtId="3" fontId="10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10" fillId="0" borderId="0" xfId="1" applyNumberFormat="1" applyFont="1" applyBorder="1"/>
    <xf numFmtId="3" fontId="10" fillId="0" borderId="0" xfId="1" applyNumberFormat="1" applyFont="1"/>
    <xf numFmtId="3" fontId="6" fillId="0" borderId="0" xfId="0" applyNumberFormat="1" applyFont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0" fillId="0" borderId="0" xfId="0" applyNumberFormat="1"/>
    <xf numFmtId="3" fontId="11" fillId="0" borderId="0" xfId="1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19" fillId="0" borderId="0" xfId="0" applyFont="1"/>
    <xf numFmtId="3" fontId="19" fillId="0" borderId="0" xfId="1" applyNumberFormat="1" applyFont="1"/>
    <xf numFmtId="3" fontId="19" fillId="0" borderId="0" xfId="1" applyNumberFormat="1" applyFont="1" applyBorder="1"/>
    <xf numFmtId="0" fontId="19" fillId="0" borderId="0" xfId="0" applyFont="1" applyBorder="1"/>
    <xf numFmtId="0" fontId="19" fillId="0" borderId="2" xfId="0" applyFont="1" applyBorder="1" applyAlignment="1">
      <alignment horizontal="center" vertical="center"/>
    </xf>
    <xf numFmtId="3" fontId="19" fillId="3" borderId="2" xfId="1" applyNumberFormat="1" applyFont="1" applyFill="1" applyBorder="1"/>
    <xf numFmtId="0" fontId="19" fillId="4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Continuous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3" fontId="16" fillId="0" borderId="0" xfId="0" applyNumberFormat="1" applyFont="1"/>
    <xf numFmtId="0" fontId="16" fillId="0" borderId="0" xfId="0" applyFont="1"/>
    <xf numFmtId="0" fontId="19" fillId="0" borderId="5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/>
    <xf numFmtId="3" fontId="19" fillId="0" borderId="0" xfId="0" applyNumberFormat="1" applyFont="1"/>
    <xf numFmtId="0" fontId="19" fillId="4" borderId="2" xfId="0" applyFont="1" applyFill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/>
    </xf>
    <xf numFmtId="3" fontId="19" fillId="0" borderId="1" xfId="1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1" fillId="0" borderId="0" xfId="0" applyFont="1" applyAlignment="1">
      <alignment horizontal="left"/>
    </xf>
    <xf numFmtId="3" fontId="21" fillId="0" borderId="0" xfId="0" applyNumberFormat="1" applyFont="1"/>
    <xf numFmtId="3" fontId="17" fillId="0" borderId="2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3" fontId="21" fillId="3" borderId="7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3" fontId="21" fillId="3" borderId="9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 wrapText="1"/>
    </xf>
    <xf numFmtId="3" fontId="21" fillId="0" borderId="9" xfId="1" applyNumberFormat="1" applyFont="1" applyBorder="1" applyAlignment="1">
      <alignment horizontal="right" vertical="center"/>
    </xf>
    <xf numFmtId="3" fontId="22" fillId="4" borderId="2" xfId="1" applyNumberFormat="1" applyFont="1" applyFill="1" applyBorder="1" applyAlignment="1">
      <alignment horizontal="right" vertical="center"/>
    </xf>
    <xf numFmtId="3" fontId="21" fillId="0" borderId="0" xfId="1" applyNumberFormat="1" applyFont="1"/>
    <xf numFmtId="3" fontId="17" fillId="0" borderId="2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3" fontId="21" fillId="0" borderId="12" xfId="1" applyNumberFormat="1" applyFont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3" fontId="21" fillId="0" borderId="12" xfId="1" applyNumberFormat="1" applyFont="1" applyFill="1" applyBorder="1" applyAlignment="1">
      <alignment horizontal="right" vertical="center"/>
    </xf>
    <xf numFmtId="0" fontId="22" fillId="4" borderId="14" xfId="0" applyFont="1" applyFill="1" applyBorder="1" applyAlignment="1">
      <alignment horizontal="center" vertical="center"/>
    </xf>
    <xf numFmtId="10" fontId="21" fillId="0" borderId="11" xfId="0" applyNumberFormat="1" applyFont="1" applyBorder="1" applyAlignment="1">
      <alignment horizontal="left" vertical="center"/>
    </xf>
    <xf numFmtId="3" fontId="21" fillId="3" borderId="12" xfId="1" applyNumberFormat="1" applyFont="1" applyFill="1" applyBorder="1" applyAlignment="1">
      <alignment horizontal="right" vertical="center"/>
    </xf>
    <xf numFmtId="3" fontId="21" fillId="3" borderId="15" xfId="1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2" fillId="4" borderId="16" xfId="0" applyFont="1" applyFill="1" applyBorder="1" applyAlignment="1">
      <alignment horizontal="center" vertical="center"/>
    </xf>
    <xf numFmtId="3" fontId="22" fillId="4" borderId="3" xfId="1" applyNumberFormat="1" applyFont="1" applyFill="1" applyBorder="1" applyAlignment="1">
      <alignment horizontal="right" vertical="center"/>
    </xf>
    <xf numFmtId="0" fontId="24" fillId="2" borderId="17" xfId="0" applyFont="1" applyFill="1" applyBorder="1" applyAlignment="1">
      <alignment horizontal="center" vertical="center"/>
    </xf>
    <xf numFmtId="3" fontId="24" fillId="2" borderId="17" xfId="1" applyNumberFormat="1" applyFont="1" applyFill="1" applyBorder="1" applyAlignment="1">
      <alignment horizontal="right" vertical="center"/>
    </xf>
    <xf numFmtId="3" fontId="24" fillId="2" borderId="18" xfId="1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3" fontId="21" fillId="0" borderId="2" xfId="1" applyNumberFormat="1" applyFont="1" applyBorder="1" applyAlignment="1">
      <alignment horizontal="right" vertical="center"/>
    </xf>
    <xf numFmtId="0" fontId="21" fillId="0" borderId="20" xfId="0" applyFont="1" applyBorder="1" applyAlignment="1">
      <alignment horizontal="left" vertical="center"/>
    </xf>
    <xf numFmtId="3" fontId="21" fillId="0" borderId="4" xfId="1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10" fontId="21" fillId="0" borderId="15" xfId="0" applyNumberFormat="1" applyFont="1" applyBorder="1" applyAlignment="1">
      <alignment horizontal="left" vertical="center"/>
    </xf>
    <xf numFmtId="0" fontId="17" fillId="2" borderId="21" xfId="0" applyFont="1" applyFill="1" applyBorder="1" applyAlignment="1">
      <alignment horizontal="center" vertical="center"/>
    </xf>
    <xf numFmtId="3" fontId="17" fillId="2" borderId="17" xfId="1" applyNumberFormat="1" applyFont="1" applyFill="1" applyBorder="1" applyAlignment="1">
      <alignment horizontal="right" vertical="center"/>
    </xf>
    <xf numFmtId="3" fontId="17" fillId="2" borderId="18" xfId="1" applyNumberFormat="1" applyFont="1" applyFill="1" applyBorder="1" applyAlignment="1">
      <alignment horizontal="right" vertical="center"/>
    </xf>
    <xf numFmtId="3" fontId="16" fillId="0" borderId="0" xfId="1" applyNumberFormat="1" applyFont="1" applyAlignment="1">
      <alignment horizontal="centerContinuous"/>
    </xf>
    <xf numFmtId="0" fontId="16" fillId="0" borderId="19" xfId="0" applyFont="1" applyBorder="1" applyAlignment="1">
      <alignment horizontal="center" vertical="center"/>
    </xf>
    <xf numFmtId="3" fontId="16" fillId="0" borderId="12" xfId="1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right"/>
    </xf>
    <xf numFmtId="3" fontId="24" fillId="4" borderId="2" xfId="1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right"/>
    </xf>
    <xf numFmtId="3" fontId="16" fillId="3" borderId="12" xfId="1" applyNumberFormat="1" applyFont="1" applyFill="1" applyBorder="1" applyAlignment="1">
      <alignment horizontal="right"/>
    </xf>
    <xf numFmtId="9" fontId="21" fillId="0" borderId="11" xfId="0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3" fontId="16" fillId="3" borderId="15" xfId="1" applyNumberFormat="1" applyFont="1" applyFill="1" applyBorder="1" applyAlignment="1">
      <alignment horizontal="right"/>
    </xf>
    <xf numFmtId="0" fontId="21" fillId="0" borderId="22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0" xfId="0" applyFont="1" applyAlignment="1">
      <alignment horizontal="centerContinuous"/>
    </xf>
    <xf numFmtId="0" fontId="21" fillId="0" borderId="19" xfId="0" applyFont="1" applyBorder="1" applyAlignment="1">
      <alignment horizontal="center" vertical="center"/>
    </xf>
    <xf numFmtId="3" fontId="19" fillId="0" borderId="0" xfId="1" applyNumberFormat="1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3" fontId="21" fillId="0" borderId="0" xfId="1" applyNumberFormat="1" applyFont="1" applyBorder="1" applyAlignment="1">
      <alignment horizontal="centerContinuous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3" fontId="22" fillId="0" borderId="2" xfId="1" applyNumberFormat="1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3" fontId="21" fillId="3" borderId="12" xfId="1" applyNumberFormat="1" applyFont="1" applyFill="1" applyBorder="1" applyAlignment="1">
      <alignment vertical="center"/>
    </xf>
    <xf numFmtId="3" fontId="21" fillId="4" borderId="12" xfId="0" applyNumberFormat="1" applyFont="1" applyFill="1" applyBorder="1" applyAlignment="1">
      <alignment horizontal="center" vertical="center"/>
    </xf>
    <xf numFmtId="3" fontId="21" fillId="4" borderId="12" xfId="1" applyNumberFormat="1" applyFont="1" applyFill="1" applyBorder="1" applyAlignment="1">
      <alignment vertical="center"/>
    </xf>
    <xf numFmtId="3" fontId="21" fillId="0" borderId="12" xfId="1" applyNumberFormat="1" applyFont="1" applyBorder="1" applyAlignment="1">
      <alignment vertical="center"/>
    </xf>
    <xf numFmtId="3" fontId="21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3" fontId="21" fillId="3" borderId="2" xfId="1" applyNumberFormat="1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3" fontId="19" fillId="0" borderId="0" xfId="0" applyNumberFormat="1" applyFont="1" applyBorder="1" applyAlignment="1">
      <alignment vertical="center"/>
    </xf>
    <xf numFmtId="3" fontId="19" fillId="3" borderId="2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0" fontId="16" fillId="0" borderId="25" xfId="0" applyNumberFormat="1" applyFont="1" applyBorder="1"/>
    <xf numFmtId="2" fontId="16" fillId="0" borderId="25" xfId="0" applyNumberFormat="1" applyFont="1" applyBorder="1"/>
    <xf numFmtId="0" fontId="16" fillId="0" borderId="25" xfId="0" applyFont="1" applyBorder="1"/>
    <xf numFmtId="0" fontId="24" fillId="6" borderId="0" xfId="0" applyFont="1" applyFill="1"/>
    <xf numFmtId="0" fontId="16" fillId="6" borderId="0" xfId="0" applyFont="1" applyFill="1"/>
    <xf numFmtId="0" fontId="16" fillId="4" borderId="4" xfId="0" applyFont="1" applyFill="1" applyBorder="1" applyAlignment="1">
      <alignment horizontal="center" vertical="center"/>
    </xf>
    <xf numFmtId="3" fontId="21" fillId="3" borderId="2" xfId="1" applyNumberFormat="1" applyFont="1" applyFill="1" applyBorder="1" applyAlignment="1">
      <alignment horizontal="right"/>
    </xf>
    <xf numFmtId="0" fontId="2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3" fontId="16" fillId="0" borderId="0" xfId="1" applyNumberFormat="1" applyFont="1"/>
    <xf numFmtId="0" fontId="16" fillId="0" borderId="0" xfId="0" applyFont="1" applyAlignment="1">
      <alignment horizontal="left"/>
    </xf>
    <xf numFmtId="3" fontId="16" fillId="0" borderId="5" xfId="1" applyNumberFormat="1" applyFont="1" applyBorder="1"/>
    <xf numFmtId="3" fontId="16" fillId="3" borderId="15" xfId="1" applyNumberFormat="1" applyFont="1" applyFill="1" applyBorder="1"/>
    <xf numFmtId="3" fontId="16" fillId="0" borderId="15" xfId="1" applyNumberFormat="1" applyFont="1" applyBorder="1"/>
    <xf numFmtId="3" fontId="24" fillId="4" borderId="2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24" fillId="0" borderId="0" xfId="1" applyNumberFormat="1" applyFont="1" applyFill="1" applyBorder="1"/>
    <xf numFmtId="0" fontId="24" fillId="0" borderId="0" xfId="0" applyFont="1" applyBorder="1"/>
    <xf numFmtId="0" fontId="24" fillId="0" borderId="26" xfId="0" applyFont="1" applyBorder="1"/>
    <xf numFmtId="0" fontId="24" fillId="0" borderId="27" xfId="0" applyFont="1" applyBorder="1"/>
    <xf numFmtId="3" fontId="16" fillId="0" borderId="27" xfId="1" applyNumberFormat="1" applyFont="1" applyBorder="1"/>
    <xf numFmtId="0" fontId="24" fillId="0" borderId="28" xfId="0" applyFont="1" applyBorder="1"/>
    <xf numFmtId="0" fontId="24" fillId="0" borderId="29" xfId="0" applyFont="1" applyBorder="1"/>
    <xf numFmtId="0" fontId="24" fillId="0" borderId="30" xfId="0" applyFont="1" applyBorder="1"/>
    <xf numFmtId="0" fontId="24" fillId="0" borderId="31" xfId="0" applyFont="1" applyBorder="1"/>
    <xf numFmtId="3" fontId="24" fillId="2" borderId="2" xfId="1" applyNumberFormat="1" applyFont="1" applyFill="1" applyBorder="1"/>
    <xf numFmtId="0" fontId="24" fillId="0" borderId="8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1" fillId="0" borderId="19" xfId="0" applyNumberFormat="1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1" fontId="21" fillId="0" borderId="19" xfId="0" applyNumberFormat="1" applyFont="1" applyBorder="1" applyAlignment="1">
      <alignment horizontal="centerContinuous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3" fontId="22" fillId="4" borderId="2" xfId="1" applyNumberFormat="1" applyFont="1" applyFill="1" applyBorder="1" applyAlignment="1">
      <alignment vertical="center"/>
    </xf>
    <xf numFmtId="9" fontId="22" fillId="4" borderId="2" xfId="5" applyFont="1" applyFill="1" applyBorder="1" applyAlignment="1">
      <alignment vertical="center"/>
    </xf>
    <xf numFmtId="1" fontId="22" fillId="4" borderId="2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33" xfId="0" applyFont="1" applyBorder="1" applyAlignment="1">
      <alignment vertical="center"/>
    </xf>
    <xf numFmtId="3" fontId="21" fillId="0" borderId="33" xfId="1" applyNumberFormat="1" applyFont="1" applyBorder="1" applyAlignment="1">
      <alignment vertical="center"/>
    </xf>
    <xf numFmtId="1" fontId="21" fillId="0" borderId="33" xfId="1" applyNumberFormat="1" applyFont="1" applyBorder="1" applyAlignment="1">
      <alignment vertical="center"/>
    </xf>
    <xf numFmtId="1" fontId="21" fillId="0" borderId="12" xfId="1" applyNumberFormat="1" applyFont="1" applyBorder="1" applyAlignment="1">
      <alignment vertical="center"/>
    </xf>
    <xf numFmtId="0" fontId="22" fillId="4" borderId="34" xfId="0" applyFont="1" applyFill="1" applyBorder="1" applyAlignment="1">
      <alignment vertical="center"/>
    </xf>
    <xf numFmtId="3" fontId="22" fillId="4" borderId="34" xfId="1" applyNumberFormat="1" applyFont="1" applyFill="1" applyBorder="1" applyAlignment="1">
      <alignment vertical="center"/>
    </xf>
    <xf numFmtId="1" fontId="22" fillId="4" borderId="34" xfId="1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3" fontId="22" fillId="4" borderId="12" xfId="1" applyNumberFormat="1" applyFont="1" applyFill="1" applyBorder="1" applyAlignment="1">
      <alignment vertical="center"/>
    </xf>
    <xf numFmtId="1" fontId="22" fillId="4" borderId="12" xfId="1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3" fontId="21" fillId="0" borderId="2" xfId="1" applyNumberFormat="1" applyFont="1" applyBorder="1" applyAlignment="1">
      <alignment vertical="center"/>
    </xf>
    <xf numFmtId="1" fontId="21" fillId="0" borderId="2" xfId="1" applyNumberFormat="1" applyFont="1" applyBorder="1" applyAlignment="1">
      <alignment vertical="center"/>
    </xf>
    <xf numFmtId="0" fontId="22" fillId="4" borderId="2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3" fontId="21" fillId="0" borderId="12" xfId="1" applyNumberFormat="1" applyFont="1" applyFill="1" applyBorder="1" applyAlignment="1">
      <alignment vertical="center"/>
    </xf>
    <xf numFmtId="1" fontId="21" fillId="0" borderId="12" xfId="1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/>
    </xf>
    <xf numFmtId="3" fontId="21" fillId="0" borderId="4" xfId="1" applyNumberFormat="1" applyFont="1" applyFill="1" applyBorder="1" applyAlignment="1">
      <alignment vertical="center"/>
    </xf>
    <xf numFmtId="1" fontId="21" fillId="0" borderId="4" xfId="1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3" fontId="20" fillId="3" borderId="2" xfId="0" applyNumberFormat="1" applyFont="1" applyFill="1" applyBorder="1" applyAlignment="1">
      <alignment horizontal="right" vertical="center"/>
    </xf>
    <xf numFmtId="0" fontId="21" fillId="0" borderId="32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3" fontId="16" fillId="0" borderId="36" xfId="1" applyNumberFormat="1" applyFont="1" applyBorder="1" applyAlignment="1">
      <alignment horizontal="right"/>
    </xf>
    <xf numFmtId="3" fontId="16" fillId="0" borderId="37" xfId="1" applyNumberFormat="1" applyFont="1" applyBorder="1" applyAlignment="1">
      <alignment horizontal="right"/>
    </xf>
    <xf numFmtId="0" fontId="21" fillId="0" borderId="38" xfId="0" applyFont="1" applyBorder="1" applyAlignment="1">
      <alignment horizontal="left" vertical="center"/>
    </xf>
    <xf numFmtId="3" fontId="16" fillId="0" borderId="3" xfId="1" applyNumberFormat="1" applyFont="1" applyBorder="1" applyAlignment="1">
      <alignment horizontal="right"/>
    </xf>
    <xf numFmtId="0" fontId="21" fillId="4" borderId="2" xfId="0" applyFont="1" applyFill="1" applyBorder="1" applyAlignment="1">
      <alignment horizontal="left" vertical="center"/>
    </xf>
    <xf numFmtId="10" fontId="21" fillId="0" borderId="35" xfId="0" applyNumberFormat="1" applyFont="1" applyBorder="1" applyAlignment="1">
      <alignment horizontal="left" vertical="center"/>
    </xf>
    <xf numFmtId="3" fontId="16" fillId="0" borderId="36" xfId="1" applyNumberFormat="1" applyFont="1" applyFill="1" applyBorder="1" applyAlignment="1">
      <alignment horizontal="right"/>
    </xf>
    <xf numFmtId="3" fontId="24" fillId="4" borderId="39" xfId="1" applyNumberFormat="1" applyFont="1" applyFill="1" applyBorder="1" applyAlignment="1">
      <alignment horizontal="right"/>
    </xf>
    <xf numFmtId="0" fontId="16" fillId="4" borderId="2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0" fontId="20" fillId="0" borderId="0" xfId="0" applyFont="1" applyBorder="1"/>
    <xf numFmtId="3" fontId="19" fillId="0" borderId="0" xfId="5" applyNumberFormat="1" applyFont="1" applyBorder="1"/>
    <xf numFmtId="3" fontId="19" fillId="0" borderId="0" xfId="1" applyNumberFormat="1" applyFont="1" applyFill="1" applyBorder="1"/>
    <xf numFmtId="3" fontId="19" fillId="0" borderId="0" xfId="0" applyNumberFormat="1" applyFont="1" applyFill="1"/>
    <xf numFmtId="3" fontId="19" fillId="0" borderId="0" xfId="1" applyNumberFormat="1" applyFont="1" applyFill="1"/>
    <xf numFmtId="3" fontId="20" fillId="0" borderId="0" xfId="1" applyNumberFormat="1" applyFont="1" applyFill="1" applyBorder="1"/>
    <xf numFmtId="0" fontId="17" fillId="4" borderId="2" xfId="0" applyFont="1" applyFill="1" applyBorder="1" applyAlignment="1">
      <alignment horizontal="center" vertical="center"/>
    </xf>
    <xf numFmtId="3" fontId="17" fillId="3" borderId="2" xfId="1" applyNumberFormat="1" applyFont="1" applyFill="1" applyBorder="1"/>
    <xf numFmtId="168" fontId="19" fillId="3" borderId="2" xfId="5" applyNumberFormat="1" applyFont="1" applyFill="1" applyBorder="1"/>
    <xf numFmtId="0" fontId="20" fillId="2" borderId="2" xfId="0" applyFont="1" applyFill="1" applyBorder="1" applyAlignment="1">
      <alignment horizontal="right" vertical="center"/>
    </xf>
    <xf numFmtId="3" fontId="20" fillId="2" borderId="2" xfId="1" applyNumberFormat="1" applyFont="1" applyFill="1" applyBorder="1" applyAlignment="1">
      <alignment horizontal="right" vertical="center"/>
    </xf>
    <xf numFmtId="3" fontId="31" fillId="0" borderId="2" xfId="1" applyNumberFormat="1" applyFont="1" applyBorder="1" applyAlignment="1">
      <alignment horizontal="center" vertical="center"/>
    </xf>
    <xf numFmtId="3" fontId="31" fillId="0" borderId="41" xfId="1" applyNumberFormat="1" applyFont="1" applyBorder="1" applyAlignment="1">
      <alignment horizontal="center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3" xfId="0" applyFont="1" applyFill="1" applyBorder="1" applyAlignment="1">
      <alignment horizontal="left" vertical="center"/>
    </xf>
    <xf numFmtId="3" fontId="17" fillId="2" borderId="44" xfId="1" applyNumberFormat="1" applyFont="1" applyFill="1" applyBorder="1" applyAlignment="1">
      <alignment horizontal="right"/>
    </xf>
    <xf numFmtId="0" fontId="20" fillId="0" borderId="0" xfId="0" applyFont="1" applyBorder="1" applyAlignment="1">
      <alignment vertical="center"/>
    </xf>
    <xf numFmtId="3" fontId="16" fillId="3" borderId="27" xfId="0" applyNumberFormat="1" applyFont="1" applyFill="1" applyBorder="1"/>
    <xf numFmtId="3" fontId="16" fillId="3" borderId="29" xfId="0" applyNumberFormat="1" applyFont="1" applyFill="1" applyBorder="1"/>
    <xf numFmtId="3" fontId="16" fillId="3" borderId="2" xfId="1" applyNumberFormat="1" applyFont="1" applyFill="1" applyBorder="1"/>
    <xf numFmtId="0" fontId="34" fillId="0" borderId="0" xfId="0" applyFont="1" applyFill="1" applyBorder="1" applyAlignment="1">
      <alignment horizontal="center"/>
    </xf>
    <xf numFmtId="3" fontId="16" fillId="3" borderId="27" xfId="1" applyNumberFormat="1" applyFont="1" applyFill="1" applyBorder="1"/>
    <xf numFmtId="0" fontId="24" fillId="0" borderId="0" xfId="0" applyFont="1" applyFill="1" applyBorder="1" applyAlignment="1">
      <alignment horizontal="left" vertical="center"/>
    </xf>
    <xf numFmtId="3" fontId="16" fillId="9" borderId="15" xfId="1" applyNumberFormat="1" applyFont="1" applyFill="1" applyBorder="1"/>
    <xf numFmtId="0" fontId="33" fillId="9" borderId="27" xfId="0" applyFont="1" applyFill="1" applyBorder="1"/>
    <xf numFmtId="3" fontId="33" fillId="9" borderId="27" xfId="0" applyNumberFormat="1" applyFont="1" applyFill="1" applyBorder="1"/>
    <xf numFmtId="3" fontId="33" fillId="9" borderId="29" xfId="0" applyNumberFormat="1" applyFont="1" applyFill="1" applyBorder="1"/>
    <xf numFmtId="0" fontId="32" fillId="9" borderId="0" xfId="0" applyFont="1" applyFill="1"/>
    <xf numFmtId="3" fontId="16" fillId="9" borderId="0" xfId="1" applyNumberFormat="1" applyFont="1" applyFill="1"/>
    <xf numFmtId="3" fontId="16" fillId="9" borderId="5" xfId="1" applyNumberFormat="1" applyFont="1" applyFill="1" applyBorder="1"/>
    <xf numFmtId="3" fontId="16" fillId="9" borderId="27" xfId="1" applyNumberFormat="1" applyFont="1" applyFill="1" applyBorder="1"/>
    <xf numFmtId="3" fontId="24" fillId="0" borderId="2" xfId="1" applyNumberFormat="1" applyFont="1" applyBorder="1" applyAlignment="1">
      <alignment horizontal="center"/>
    </xf>
    <xf numFmtId="168" fontId="16" fillId="3" borderId="27" xfId="0" applyNumberFormat="1" applyFont="1" applyFill="1" applyBorder="1"/>
    <xf numFmtId="3" fontId="33" fillId="3" borderId="27" xfId="0" applyNumberFormat="1" applyFont="1" applyFill="1" applyBorder="1"/>
    <xf numFmtId="3" fontId="33" fillId="3" borderId="29" xfId="0" applyNumberFormat="1" applyFont="1" applyFill="1" applyBorder="1"/>
    <xf numFmtId="0" fontId="16" fillId="10" borderId="45" xfId="0" applyFont="1" applyFill="1" applyBorder="1"/>
    <xf numFmtId="3" fontId="21" fillId="0" borderId="15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left" vertical="center"/>
    </xf>
    <xf numFmtId="3" fontId="21" fillId="0" borderId="5" xfId="1" applyNumberFormat="1" applyFont="1" applyFill="1" applyBorder="1" applyAlignment="1">
      <alignment horizontal="right" vertical="center"/>
    </xf>
    <xf numFmtId="0" fontId="21" fillId="10" borderId="46" xfId="0" applyFont="1" applyFill="1" applyBorder="1" applyAlignment="1">
      <alignment horizontal="center"/>
    </xf>
    <xf numFmtId="0" fontId="21" fillId="10" borderId="45" xfId="0" applyFont="1" applyFill="1" applyBorder="1" applyAlignment="1">
      <alignment horizontal="center"/>
    </xf>
    <xf numFmtId="10" fontId="16" fillId="0" borderId="11" xfId="0" applyNumberFormat="1" applyFont="1" applyBorder="1" applyAlignment="1">
      <alignment horizontal="left" vertical="center"/>
    </xf>
    <xf numFmtId="10" fontId="16" fillId="0" borderId="35" xfId="0" applyNumberFormat="1" applyFont="1" applyBorder="1" applyAlignment="1">
      <alignment horizontal="left" vertical="center"/>
    </xf>
    <xf numFmtId="0" fontId="22" fillId="2" borderId="2" xfId="0" applyFont="1" applyFill="1" applyBorder="1"/>
    <xf numFmtId="0" fontId="21" fillId="2" borderId="2" xfId="0" applyFont="1" applyFill="1" applyBorder="1"/>
    <xf numFmtId="168" fontId="22" fillId="2" borderId="2" xfId="0" applyNumberFormat="1" applyFont="1" applyFill="1" applyBorder="1"/>
    <xf numFmtId="3" fontId="21" fillId="4" borderId="2" xfId="1" applyNumberFormat="1" applyFont="1" applyFill="1" applyBorder="1" applyAlignment="1">
      <alignment horizontal="right" vertical="center"/>
    </xf>
    <xf numFmtId="0" fontId="22" fillId="4" borderId="2" xfId="0" applyFont="1" applyFill="1" applyBorder="1"/>
    <xf numFmtId="0" fontId="21" fillId="4" borderId="2" xfId="0" applyFont="1" applyFill="1" applyBorder="1"/>
    <xf numFmtId="3" fontId="21" fillId="4" borderId="2" xfId="0" applyNumberFormat="1" applyFont="1" applyFill="1" applyBorder="1"/>
    <xf numFmtId="3" fontId="21" fillId="3" borderId="4" xfId="1" applyNumberFormat="1" applyFont="1" applyFill="1" applyBorder="1" applyAlignment="1">
      <alignment horizontal="right"/>
    </xf>
    <xf numFmtId="0" fontId="19" fillId="10" borderId="46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7" fillId="10" borderId="46" xfId="0" applyFont="1" applyFill="1" applyBorder="1" applyAlignment="1">
      <alignment horizontal="center" vertical="center"/>
    </xf>
    <xf numFmtId="0" fontId="17" fillId="10" borderId="45" xfId="0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left" vertical="center"/>
    </xf>
    <xf numFmtId="3" fontId="20" fillId="0" borderId="0" xfId="1" applyNumberFormat="1" applyFont="1" applyAlignment="1">
      <alignment horizontal="center"/>
    </xf>
    <xf numFmtId="0" fontId="20" fillId="4" borderId="2" xfId="0" applyFont="1" applyFill="1" applyBorder="1" applyAlignment="1">
      <alignment horizontal="centerContinuous" vertical="center"/>
    </xf>
    <xf numFmtId="0" fontId="0" fillId="0" borderId="47" xfId="0" applyBorder="1"/>
    <xf numFmtId="0" fontId="24" fillId="3" borderId="0" xfId="0" applyFont="1" applyFill="1"/>
    <xf numFmtId="0" fontId="16" fillId="3" borderId="0" xfId="0" applyFont="1" applyFill="1"/>
    <xf numFmtId="10" fontId="24" fillId="3" borderId="25" xfId="0" applyNumberFormat="1" applyFont="1" applyFill="1" applyBorder="1"/>
    <xf numFmtId="10" fontId="24" fillId="0" borderId="0" xfId="0" applyNumberFormat="1" applyFont="1" applyBorder="1"/>
    <xf numFmtId="0" fontId="20" fillId="0" borderId="0" xfId="0" applyFont="1"/>
    <xf numFmtId="0" fontId="39" fillId="0" borderId="0" xfId="0" applyFont="1"/>
    <xf numFmtId="0" fontId="17" fillId="10" borderId="48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2" fillId="4" borderId="19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Continuous"/>
    </xf>
    <xf numFmtId="49" fontId="23" fillId="0" borderId="49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" fontId="22" fillId="0" borderId="4" xfId="1" applyNumberFormat="1" applyFont="1" applyBorder="1" applyAlignment="1">
      <alignment horizontal="centerContinuous" vertical="center"/>
    </xf>
    <xf numFmtId="0" fontId="22" fillId="4" borderId="25" xfId="0" applyFont="1" applyFill="1" applyBorder="1" applyAlignment="1">
      <alignment horizontal="left" vertical="center"/>
    </xf>
    <xf numFmtId="3" fontId="22" fillId="3" borderId="25" xfId="1" applyNumberFormat="1" applyFont="1" applyFill="1" applyBorder="1" applyAlignment="1">
      <alignment vertical="center"/>
    </xf>
    <xf numFmtId="3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" fontId="22" fillId="0" borderId="0" xfId="1" applyNumberFormat="1" applyFont="1" applyFill="1" applyBorder="1" applyAlignment="1">
      <alignment vertical="center"/>
    </xf>
    <xf numFmtId="0" fontId="22" fillId="4" borderId="2" xfId="0" applyFont="1" applyFill="1" applyBorder="1" applyAlignment="1">
      <alignment horizontal="right" vertical="center"/>
    </xf>
    <xf numFmtId="0" fontId="40" fillId="0" borderId="0" xfId="0" applyFont="1"/>
    <xf numFmtId="3" fontId="22" fillId="2" borderId="2" xfId="1" applyNumberFormat="1" applyFont="1" applyFill="1" applyBorder="1" applyAlignment="1">
      <alignment horizontal="right" vertical="center"/>
    </xf>
    <xf numFmtId="0" fontId="21" fillId="0" borderId="19" xfId="0" applyFont="1" applyBorder="1"/>
    <xf numFmtId="0" fontId="21" fillId="0" borderId="14" xfId="0" applyFont="1" applyBorder="1"/>
    <xf numFmtId="0" fontId="21" fillId="0" borderId="10" xfId="0" applyFont="1" applyBorder="1"/>
    <xf numFmtId="0" fontId="21" fillId="0" borderId="29" xfId="0" applyFont="1" applyBorder="1"/>
    <xf numFmtId="3" fontId="22" fillId="11" borderId="2" xfId="1" applyNumberFormat="1" applyFont="1" applyFill="1" applyBorder="1" applyAlignment="1">
      <alignment horizontal="centerContinuous" vertical="center"/>
    </xf>
    <xf numFmtId="0" fontId="20" fillId="2" borderId="19" xfId="0" applyFont="1" applyFill="1" applyBorder="1" applyAlignment="1">
      <alignment horizontal="center"/>
    </xf>
    <xf numFmtId="0" fontId="21" fillId="2" borderId="14" xfId="0" applyFont="1" applyFill="1" applyBorder="1"/>
    <xf numFmtId="0" fontId="17" fillId="10" borderId="48" xfId="0" applyFont="1" applyFill="1" applyBorder="1" applyAlignment="1">
      <alignment horizontal="left" vertical="center"/>
    </xf>
    <xf numFmtId="0" fontId="21" fillId="10" borderId="46" xfId="0" applyFont="1" applyFill="1" applyBorder="1" applyAlignment="1">
      <alignment horizontal="left" vertical="center"/>
    </xf>
    <xf numFmtId="0" fontId="22" fillId="4" borderId="15" xfId="0" applyFont="1" applyFill="1" applyBorder="1" applyAlignment="1">
      <alignment horizontal="left" vertical="center"/>
    </xf>
    <xf numFmtId="10" fontId="21" fillId="4" borderId="15" xfId="0" applyNumberFormat="1" applyFont="1" applyFill="1" applyBorder="1" applyAlignment="1">
      <alignment horizontal="left" vertical="center"/>
    </xf>
    <xf numFmtId="3" fontId="21" fillId="4" borderId="15" xfId="1" applyNumberFormat="1" applyFont="1" applyFill="1" applyBorder="1" applyAlignment="1">
      <alignment horizontal="right" vertical="center"/>
    </xf>
    <xf numFmtId="3" fontId="21" fillId="3" borderId="4" xfId="1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50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left" vertical="center"/>
    </xf>
    <xf numFmtId="0" fontId="22" fillId="2" borderId="50" xfId="0" applyFont="1" applyFill="1" applyBorder="1" applyAlignment="1">
      <alignment horizontal="left" vertical="center"/>
    </xf>
    <xf numFmtId="0" fontId="22" fillId="2" borderId="19" xfId="0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right"/>
    </xf>
    <xf numFmtId="0" fontId="22" fillId="2" borderId="51" xfId="0" applyFont="1" applyFill="1" applyBorder="1" applyAlignment="1">
      <alignment horizontal="left" vertical="center"/>
    </xf>
    <xf numFmtId="0" fontId="22" fillId="2" borderId="52" xfId="0" applyFont="1" applyFill="1" applyBorder="1" applyAlignment="1">
      <alignment horizontal="left" vertical="center"/>
    </xf>
    <xf numFmtId="3" fontId="24" fillId="2" borderId="34" xfId="1" applyNumberFormat="1" applyFont="1" applyFill="1" applyBorder="1" applyAlignment="1">
      <alignment horizontal="right"/>
    </xf>
    <xf numFmtId="0" fontId="22" fillId="0" borderId="11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left" vertical="center"/>
    </xf>
    <xf numFmtId="0" fontId="22" fillId="2" borderId="19" xfId="0" applyFont="1" applyFill="1" applyBorder="1"/>
    <xf numFmtId="0" fontId="22" fillId="2" borderId="2" xfId="0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/>
    </xf>
    <xf numFmtId="0" fontId="22" fillId="3" borderId="2" xfId="0" applyFont="1" applyFill="1" applyBorder="1"/>
    <xf numFmtId="0" fontId="3" fillId="0" borderId="0" xfId="0" applyFont="1"/>
    <xf numFmtId="3" fontId="19" fillId="10" borderId="45" xfId="0" applyNumberFormat="1" applyFont="1" applyFill="1" applyBorder="1" applyAlignment="1">
      <alignment vertical="center"/>
    </xf>
    <xf numFmtId="0" fontId="20" fillId="10" borderId="48" xfId="0" applyFont="1" applyFill="1" applyBorder="1" applyAlignment="1">
      <alignment horizontal="center" vertical="center"/>
    </xf>
    <xf numFmtId="3" fontId="16" fillId="3" borderId="0" xfId="1" applyNumberFormat="1" applyFont="1" applyFill="1"/>
    <xf numFmtId="3" fontId="16" fillId="9" borderId="13" xfId="1" applyNumberFormat="1" applyFont="1" applyFill="1" applyBorder="1"/>
    <xf numFmtId="49" fontId="21" fillId="0" borderId="10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8" borderId="0" xfId="0" applyFont="1" applyFill="1" applyBorder="1" applyAlignment="1">
      <alignment vertical="center"/>
    </xf>
    <xf numFmtId="0" fontId="21" fillId="8" borderId="0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24" fillId="8" borderId="0" xfId="0" applyFont="1" applyFill="1"/>
    <xf numFmtId="0" fontId="24" fillId="0" borderId="25" xfId="0" applyFont="1" applyBorder="1"/>
    <xf numFmtId="3" fontId="16" fillId="0" borderId="47" xfId="1" applyNumberFormat="1" applyFont="1" applyBorder="1"/>
    <xf numFmtId="169" fontId="24" fillId="2" borderId="2" xfId="1" applyNumberFormat="1" applyFont="1" applyFill="1" applyBorder="1"/>
    <xf numFmtId="0" fontId="21" fillId="11" borderId="14" xfId="0" applyFont="1" applyFill="1" applyBorder="1"/>
    <xf numFmtId="0" fontId="22" fillId="11" borderId="19" xfId="0" applyFont="1" applyFill="1" applyBorder="1"/>
    <xf numFmtId="3" fontId="22" fillId="9" borderId="2" xfId="1" applyNumberFormat="1" applyFont="1" applyFill="1" applyBorder="1" applyAlignment="1">
      <alignment horizontal="right" vertical="center"/>
    </xf>
    <xf numFmtId="0" fontId="20" fillId="2" borderId="19" xfId="0" applyFont="1" applyFill="1" applyBorder="1" applyAlignment="1">
      <alignment horizontal="right"/>
    </xf>
    <xf numFmtId="3" fontId="22" fillId="11" borderId="2" xfId="1" applyNumberFormat="1" applyFont="1" applyFill="1" applyBorder="1" applyAlignment="1">
      <alignment horizontal="center" vertical="center"/>
    </xf>
    <xf numFmtId="3" fontId="16" fillId="3" borderId="36" xfId="1" applyNumberFormat="1" applyFont="1" applyFill="1" applyBorder="1" applyAlignment="1">
      <alignment horizontal="right"/>
    </xf>
    <xf numFmtId="0" fontId="16" fillId="8" borderId="0" xfId="0" applyFont="1" applyFill="1"/>
    <xf numFmtId="0" fontId="21" fillId="8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3" fontId="20" fillId="2" borderId="2" xfId="0" applyNumberFormat="1" applyFont="1" applyFill="1" applyBorder="1" applyAlignment="1">
      <alignment vertical="center"/>
    </xf>
    <xf numFmtId="3" fontId="37" fillId="0" borderId="0" xfId="0" applyNumberFormat="1" applyFont="1" applyAlignment="1">
      <alignment vertical="center"/>
    </xf>
    <xf numFmtId="0" fontId="22" fillId="11" borderId="19" xfId="0" applyFont="1" applyFill="1" applyBorder="1" applyAlignment="1">
      <alignment horizontal="center"/>
    </xf>
    <xf numFmtId="3" fontId="16" fillId="3" borderId="37" xfId="1" applyNumberFormat="1" applyFont="1" applyFill="1" applyBorder="1" applyAlignment="1">
      <alignment horizontal="right"/>
    </xf>
    <xf numFmtId="3" fontId="16" fillId="3" borderId="7" xfId="1" applyNumberFormat="1" applyFont="1" applyFill="1" applyBorder="1" applyAlignment="1">
      <alignment horizontal="right"/>
    </xf>
    <xf numFmtId="0" fontId="22" fillId="3" borderId="4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43" fillId="0" borderId="0" xfId="0" applyFont="1"/>
    <xf numFmtId="3" fontId="21" fillId="0" borderId="9" xfId="1" applyNumberFormat="1" applyFont="1" applyFill="1" applyBorder="1" applyAlignment="1">
      <alignment horizontal="right" vertical="center"/>
    </xf>
    <xf numFmtId="3" fontId="20" fillId="0" borderId="2" xfId="1" applyNumberFormat="1" applyFont="1" applyBorder="1" applyAlignment="1" applyProtection="1">
      <alignment horizontal="center" vertical="center"/>
      <protection locked="0"/>
    </xf>
    <xf numFmtId="3" fontId="20" fillId="0" borderId="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horizontal="center" vertical="center"/>
    </xf>
    <xf numFmtId="3" fontId="20" fillId="2" borderId="2" xfId="1" applyNumberFormat="1" applyFont="1" applyFill="1" applyBorder="1" applyAlignment="1">
      <alignment horizontal="center" vertical="center"/>
    </xf>
    <xf numFmtId="3" fontId="44" fillId="9" borderId="12" xfId="1" applyNumberFormat="1" applyFont="1" applyFill="1" applyBorder="1" applyAlignment="1">
      <alignment vertical="center"/>
    </xf>
    <xf numFmtId="3" fontId="21" fillId="9" borderId="12" xfId="1" applyNumberFormat="1" applyFont="1" applyFill="1" applyBorder="1" applyAlignment="1">
      <alignment vertical="center"/>
    </xf>
    <xf numFmtId="0" fontId="0" fillId="3" borderId="39" xfId="0" applyFill="1" applyBorder="1"/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0" fillId="3" borderId="0" xfId="0" applyNumberFormat="1" applyFill="1"/>
    <xf numFmtId="9" fontId="0" fillId="0" borderId="0" xfId="0" applyNumberFormat="1"/>
    <xf numFmtId="9" fontId="0" fillId="0" borderId="0" xfId="0" applyNumberFormat="1" applyFill="1"/>
    <xf numFmtId="168" fontId="0" fillId="0" borderId="0" xfId="0" applyNumberFormat="1" applyFill="1"/>
    <xf numFmtId="9" fontId="0" fillId="13" borderId="0" xfId="0" applyNumberFormat="1" applyFill="1" applyAlignment="1">
      <alignment horizontal="left"/>
    </xf>
    <xf numFmtId="3" fontId="0" fillId="3" borderId="2" xfId="0" applyNumberFormat="1" applyFill="1" applyBorder="1"/>
    <xf numFmtId="168" fontId="0" fillId="3" borderId="2" xfId="0" applyNumberFormat="1" applyFill="1" applyBorder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3" fillId="3" borderId="25" xfId="0" applyNumberFormat="1" applyFont="1" applyFill="1" applyBorder="1"/>
    <xf numFmtId="3" fontId="3" fillId="3" borderId="25" xfId="0" applyNumberFormat="1" applyFont="1" applyFill="1" applyBorder="1"/>
    <xf numFmtId="3" fontId="3" fillId="3" borderId="2" xfId="0" applyNumberFormat="1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168" fontId="0" fillId="0" borderId="0" xfId="0" applyNumberFormat="1" applyFill="1" applyBorder="1"/>
    <xf numFmtId="168" fontId="3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3" fontId="21" fillId="9" borderId="9" xfId="1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3" fillId="12" borderId="38" xfId="0" applyFont="1" applyFill="1" applyBorder="1"/>
    <xf numFmtId="0" fontId="0" fillId="12" borderId="53" xfId="0" applyFill="1" applyBorder="1"/>
    <xf numFmtId="0" fontId="0" fillId="12" borderId="16" xfId="0" applyFill="1" applyBorder="1"/>
    <xf numFmtId="0" fontId="3" fillId="12" borderId="10" xfId="0" applyFont="1" applyFill="1" applyBorder="1"/>
    <xf numFmtId="0" fontId="0" fillId="12" borderId="0" xfId="0" applyFill="1" applyBorder="1"/>
    <xf numFmtId="0" fontId="0" fillId="12" borderId="29" xfId="0" applyFill="1" applyBorder="1"/>
    <xf numFmtId="0" fontId="3" fillId="12" borderId="20" xfId="0" applyFont="1" applyFill="1" applyBorder="1"/>
    <xf numFmtId="0" fontId="0" fillId="12" borderId="47" xfId="0" applyFill="1" applyBorder="1"/>
    <xf numFmtId="0" fontId="0" fillId="12" borderId="31" xfId="0" applyFill="1" applyBorder="1"/>
    <xf numFmtId="0" fontId="22" fillId="3" borderId="38" xfId="0" applyFont="1" applyFill="1" applyBorder="1"/>
    <xf numFmtId="0" fontId="0" fillId="3" borderId="53" xfId="0" applyFill="1" applyBorder="1"/>
    <xf numFmtId="0" fontId="0" fillId="3" borderId="16" xfId="0" applyFill="1" applyBorder="1"/>
    <xf numFmtId="0" fontId="22" fillId="3" borderId="20" xfId="0" applyFont="1" applyFill="1" applyBorder="1"/>
    <xf numFmtId="0" fontId="3" fillId="3" borderId="47" xfId="0" applyFont="1" applyFill="1" applyBorder="1"/>
    <xf numFmtId="0" fontId="0" fillId="3" borderId="31" xfId="0" applyFill="1" applyBorder="1"/>
    <xf numFmtId="0" fontId="4" fillId="14" borderId="38" xfId="0" applyFont="1" applyFill="1" applyBorder="1"/>
    <xf numFmtId="0" fontId="0" fillId="14" borderId="53" xfId="0" applyFill="1" applyBorder="1"/>
    <xf numFmtId="0" fontId="0" fillId="14" borderId="16" xfId="0" applyFill="1" applyBorder="1"/>
    <xf numFmtId="0" fontId="4" fillId="14" borderId="20" xfId="0" applyFont="1" applyFill="1" applyBorder="1"/>
    <xf numFmtId="0" fontId="0" fillId="14" borderId="47" xfId="0" applyFill="1" applyBorder="1"/>
    <xf numFmtId="0" fontId="0" fillId="14" borderId="31" xfId="0" applyFill="1" applyBorder="1"/>
    <xf numFmtId="0" fontId="30" fillId="14" borderId="19" xfId="0" applyFont="1" applyFill="1" applyBorder="1" applyAlignment="1">
      <alignment vertical="center"/>
    </xf>
    <xf numFmtId="0" fontId="41" fillId="14" borderId="39" xfId="0" applyFont="1" applyFill="1" applyBorder="1"/>
    <xf numFmtId="0" fontId="41" fillId="14" borderId="14" xfId="0" applyFont="1" applyFill="1" applyBorder="1"/>
    <xf numFmtId="168" fontId="24" fillId="12" borderId="2" xfId="0" applyNumberFormat="1" applyFont="1" applyFill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24" fillId="12" borderId="53" xfId="0" applyFont="1" applyFill="1" applyBorder="1"/>
    <xf numFmtId="0" fontId="24" fillId="12" borderId="16" xfId="0" applyFont="1" applyFill="1" applyBorder="1"/>
    <xf numFmtId="0" fontId="24" fillId="12" borderId="0" xfId="0" applyFont="1" applyFill="1" applyBorder="1"/>
    <xf numFmtId="0" fontId="24" fillId="12" borderId="29" xfId="0" applyFont="1" applyFill="1" applyBorder="1"/>
    <xf numFmtId="0" fontId="24" fillId="12" borderId="47" xfId="0" applyFont="1" applyFill="1" applyBorder="1"/>
    <xf numFmtId="0" fontId="24" fillId="12" borderId="31" xfId="0" applyFont="1" applyFill="1" applyBorder="1"/>
    <xf numFmtId="0" fontId="22" fillId="10" borderId="2" xfId="0" applyFont="1" applyFill="1" applyBorder="1" applyAlignment="1">
      <alignment horizontal="left"/>
    </xf>
    <xf numFmtId="0" fontId="22" fillId="10" borderId="2" xfId="0" applyFont="1" applyFill="1" applyBorder="1" applyAlignment="1"/>
    <xf numFmtId="0" fontId="34" fillId="0" borderId="0" xfId="0" applyFont="1" applyAlignment="1">
      <alignment vertical="center"/>
    </xf>
    <xf numFmtId="0" fontId="24" fillId="2" borderId="2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19" fillId="3" borderId="2" xfId="0" applyNumberFormat="1" applyFont="1" applyFill="1" applyBorder="1" applyAlignment="1">
      <alignment vertical="center"/>
    </xf>
    <xf numFmtId="0" fontId="31" fillId="0" borderId="0" xfId="0" applyFont="1" applyBorder="1"/>
    <xf numFmtId="0" fontId="17" fillId="0" borderId="47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0" xfId="0" applyFont="1" applyFill="1" applyBorder="1" applyAlignment="1">
      <alignment horizontal="left" indent="1"/>
    </xf>
    <xf numFmtId="0" fontId="31" fillId="0" borderId="54" xfId="0" applyFont="1" applyBorder="1"/>
    <xf numFmtId="0" fontId="31" fillId="0" borderId="55" xfId="0" applyFont="1" applyBorder="1"/>
    <xf numFmtId="0" fontId="31" fillId="0" borderId="54" xfId="0" applyFont="1" applyFill="1" applyBorder="1"/>
    <xf numFmtId="0" fontId="24" fillId="0" borderId="56" xfId="0" applyFont="1" applyFill="1" applyBorder="1" applyAlignment="1">
      <alignment horizontal="left"/>
    </xf>
    <xf numFmtId="0" fontId="24" fillId="0" borderId="57" xfId="0" applyFont="1" applyFill="1" applyBorder="1"/>
    <xf numFmtId="168" fontId="31" fillId="3" borderId="58" xfId="0" applyNumberFormat="1" applyFont="1" applyFill="1" applyBorder="1"/>
    <xf numFmtId="0" fontId="24" fillId="14" borderId="59" xfId="0" applyFont="1" applyFill="1" applyBorder="1"/>
    <xf numFmtId="0" fontId="31" fillId="14" borderId="60" xfId="0" applyFont="1" applyFill="1" applyBorder="1"/>
    <xf numFmtId="0" fontId="31" fillId="14" borderId="61" xfId="0" applyFont="1" applyFill="1" applyBorder="1"/>
    <xf numFmtId="0" fontId="48" fillId="0" borderId="0" xfId="0" applyFont="1"/>
    <xf numFmtId="0" fontId="3" fillId="11" borderId="2" xfId="0" applyFont="1" applyFill="1" applyBorder="1"/>
    <xf numFmtId="0" fontId="0" fillId="3" borderId="2" xfId="0" applyFill="1" applyBorder="1"/>
    <xf numFmtId="1" fontId="16" fillId="0" borderId="0" xfId="1" applyNumberFormat="1" applyFont="1" applyAlignment="1">
      <alignment horizontal="centerContinuous"/>
    </xf>
    <xf numFmtId="1" fontId="16" fillId="0" borderId="0" xfId="1" applyNumberFormat="1" applyFont="1"/>
    <xf numFmtId="1" fontId="16" fillId="0" borderId="5" xfId="1" applyNumberFormat="1" applyFont="1" applyBorder="1"/>
    <xf numFmtId="1" fontId="16" fillId="0" borderId="15" xfId="1" applyNumberFormat="1" applyFont="1" applyBorder="1"/>
    <xf numFmtId="1" fontId="16" fillId="9" borderId="15" xfId="1" applyNumberFormat="1" applyFont="1" applyFill="1" applyBorder="1"/>
    <xf numFmtId="1" fontId="16" fillId="9" borderId="5" xfId="1" applyNumberFormat="1" applyFont="1" applyFill="1" applyBorder="1"/>
    <xf numFmtId="1" fontId="24" fillId="4" borderId="2" xfId="1" applyNumberFormat="1" applyFont="1" applyFill="1" applyBorder="1"/>
    <xf numFmtId="1" fontId="24" fillId="0" borderId="0" xfId="1" applyNumberFormat="1" applyFont="1" applyFill="1" applyBorder="1"/>
    <xf numFmtId="1" fontId="16" fillId="0" borderId="47" xfId="1" applyNumberFormat="1" applyFont="1" applyBorder="1"/>
    <xf numFmtId="1" fontId="16" fillId="3" borderId="15" xfId="1" applyNumberFormat="1" applyFont="1" applyFill="1" applyBorder="1"/>
    <xf numFmtId="1" fontId="16" fillId="3" borderId="27" xfId="1" applyNumberFormat="1" applyFont="1" applyFill="1" applyBorder="1"/>
    <xf numFmtId="1" fontId="24" fillId="2" borderId="2" xfId="1" applyNumberFormat="1" applyFont="1" applyFill="1" applyBorder="1"/>
    <xf numFmtId="1" fontId="16" fillId="3" borderId="0" xfId="1" applyNumberFormat="1" applyFont="1" applyFill="1"/>
    <xf numFmtId="1" fontId="10" fillId="0" borderId="0" xfId="1" applyNumberFormat="1" applyFont="1"/>
    <xf numFmtId="168" fontId="21" fillId="9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19" fillId="3" borderId="63" xfId="1" applyNumberFormat="1" applyFont="1" applyFill="1" applyBorder="1" applyAlignment="1">
      <alignment vertical="center"/>
    </xf>
    <xf numFmtId="3" fontId="19" fillId="3" borderId="9" xfId="1" applyNumberFormat="1" applyFont="1" applyFill="1" applyBorder="1" applyAlignment="1">
      <alignment vertical="center"/>
    </xf>
    <xf numFmtId="0" fontId="24" fillId="0" borderId="0" xfId="0" applyFont="1" applyFill="1" applyBorder="1"/>
    <xf numFmtId="0" fontId="4" fillId="0" borderId="0" xfId="0" applyFont="1" applyFill="1" applyBorder="1"/>
    <xf numFmtId="0" fontId="21" fillId="0" borderId="10" xfId="0" applyFont="1" applyFill="1" applyBorder="1" applyAlignment="1">
      <alignment horizontal="left"/>
    </xf>
    <xf numFmtId="0" fontId="22" fillId="0" borderId="0" xfId="0" applyFont="1" applyFill="1" applyBorder="1"/>
    <xf numFmtId="0" fontId="3" fillId="0" borderId="0" xfId="0" applyFont="1" applyFill="1" applyBorder="1"/>
    <xf numFmtId="0" fontId="20" fillId="4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9" fillId="3" borderId="65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right" vertical="center"/>
    </xf>
    <xf numFmtId="3" fontId="16" fillId="3" borderId="2" xfId="0" applyNumberFormat="1" applyFont="1" applyFill="1" applyBorder="1" applyAlignment="1">
      <alignment horizontal="right" vertical="center"/>
    </xf>
    <xf numFmtId="0" fontId="22" fillId="0" borderId="47" xfId="0" applyFont="1" applyBorder="1" applyAlignment="1">
      <alignment horizontal="left" vertical="center"/>
    </xf>
    <xf numFmtId="0" fontId="22" fillId="0" borderId="47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2" fillId="0" borderId="0" xfId="2" applyAlignment="1" applyProtection="1"/>
    <xf numFmtId="0" fontId="49" fillId="0" borderId="25" xfId="0" applyFont="1" applyBorder="1"/>
    <xf numFmtId="0" fontId="21" fillId="0" borderId="10" xfId="0" applyFont="1" applyBorder="1" applyAlignment="1">
      <alignment horizontal="center"/>
    </xf>
    <xf numFmtId="0" fontId="22" fillId="0" borderId="19" xfId="0" applyFont="1" applyFill="1" applyBorder="1" applyAlignment="1">
      <alignment horizontal="right" vertical="center"/>
    </xf>
    <xf numFmtId="0" fontId="21" fillId="0" borderId="39" xfId="0" applyFont="1" applyFill="1" applyBorder="1" applyAlignment="1">
      <alignment horizontal="left" vertical="center"/>
    </xf>
    <xf numFmtId="170" fontId="24" fillId="0" borderId="25" xfId="0" applyNumberFormat="1" applyFont="1" applyFill="1" applyBorder="1" applyAlignment="1">
      <alignment horizontal="center"/>
    </xf>
    <xf numFmtId="3" fontId="20" fillId="15" borderId="67" xfId="1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left" vertical="center"/>
    </xf>
    <xf numFmtId="3" fontId="24" fillId="0" borderId="39" xfId="1" applyNumberFormat="1" applyFont="1" applyFill="1" applyBorder="1" applyAlignment="1">
      <alignment horizontal="right"/>
    </xf>
    <xf numFmtId="3" fontId="24" fillId="0" borderId="14" xfId="1" applyNumberFormat="1" applyFont="1" applyFill="1" applyBorder="1" applyAlignment="1">
      <alignment horizontal="right"/>
    </xf>
    <xf numFmtId="3" fontId="19" fillId="0" borderId="1" xfId="1" applyNumberFormat="1" applyFont="1" applyFill="1" applyBorder="1" applyAlignment="1" applyProtection="1">
      <alignment horizontal="right" vertical="center"/>
      <protection locked="0"/>
    </xf>
    <xf numFmtId="0" fontId="30" fillId="8" borderId="2" xfId="0" applyFont="1" applyFill="1" applyBorder="1" applyAlignment="1">
      <alignment vertical="center"/>
    </xf>
    <xf numFmtId="0" fontId="46" fillId="8" borderId="2" xfId="0" applyFont="1" applyFill="1" applyBorder="1" applyAlignment="1">
      <alignment vertical="center"/>
    </xf>
    <xf numFmtId="3" fontId="19" fillId="3" borderId="28" xfId="1" applyNumberFormat="1" applyFont="1" applyFill="1" applyBorder="1" applyAlignment="1">
      <alignment vertical="center"/>
    </xf>
    <xf numFmtId="0" fontId="20" fillId="2" borderId="50" xfId="0" applyFont="1" applyFill="1" applyBorder="1" applyAlignment="1">
      <alignment horizontal="center" vertical="center"/>
    </xf>
    <xf numFmtId="3" fontId="20" fillId="9" borderId="72" xfId="1" applyNumberFormat="1" applyFont="1" applyFill="1" applyBorder="1" applyAlignment="1">
      <alignment vertical="center"/>
    </xf>
    <xf numFmtId="3" fontId="20" fillId="2" borderId="41" xfId="1" applyNumberFormat="1" applyFont="1" applyFill="1" applyBorder="1" applyAlignment="1">
      <alignment vertical="center"/>
    </xf>
    <xf numFmtId="3" fontId="19" fillId="3" borderId="12" xfId="1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right"/>
    </xf>
    <xf numFmtId="0" fontId="51" fillId="0" borderId="0" xfId="0" applyFont="1" applyAlignment="1">
      <alignment horizontal="center"/>
    </xf>
    <xf numFmtId="3" fontId="19" fillId="0" borderId="62" xfId="1" applyNumberFormat="1" applyFont="1" applyBorder="1" applyAlignment="1" applyProtection="1">
      <alignment vertical="center"/>
      <protection locked="0"/>
    </xf>
    <xf numFmtId="3" fontId="19" fillId="0" borderId="1" xfId="1" applyNumberFormat="1" applyFont="1" applyBorder="1" applyAlignment="1" applyProtection="1">
      <alignment vertical="center"/>
      <protection locked="0"/>
    </xf>
    <xf numFmtId="3" fontId="19" fillId="0" borderId="1" xfId="0" applyNumberFormat="1" applyFont="1" applyBorder="1" applyAlignment="1" applyProtection="1">
      <alignment vertical="center"/>
      <protection locked="0"/>
    </xf>
    <xf numFmtId="3" fontId="19" fillId="0" borderId="40" xfId="0" applyNumberFormat="1" applyFont="1" applyBorder="1" applyAlignment="1" applyProtection="1">
      <alignment vertical="center"/>
      <protection locked="0"/>
    </xf>
    <xf numFmtId="3" fontId="19" fillId="0" borderId="68" xfId="1" applyNumberFormat="1" applyFont="1" applyBorder="1" applyAlignment="1" applyProtection="1">
      <alignment vertical="center"/>
      <protection locked="0"/>
    </xf>
    <xf numFmtId="3" fontId="19" fillId="0" borderId="69" xfId="0" applyNumberFormat="1" applyFont="1" applyBorder="1" applyAlignment="1" applyProtection="1">
      <alignment vertical="center"/>
      <protection locked="0"/>
    </xf>
    <xf numFmtId="3" fontId="19" fillId="0" borderId="70" xfId="0" applyNumberFormat="1" applyFont="1" applyBorder="1" applyAlignment="1" applyProtection="1">
      <alignment vertical="center"/>
      <protection locked="0"/>
    </xf>
    <xf numFmtId="3" fontId="19" fillId="0" borderId="27" xfId="0" applyNumberFormat="1" applyFont="1" applyBorder="1" applyAlignment="1" applyProtection="1">
      <alignment vertical="center"/>
      <protection locked="0"/>
    </xf>
    <xf numFmtId="3" fontId="19" fillId="0" borderId="71" xfId="1" applyNumberFormat="1" applyFont="1" applyBorder="1" applyAlignment="1" applyProtection="1">
      <alignment vertical="center"/>
      <protection locked="0"/>
    </xf>
    <xf numFmtId="3" fontId="19" fillId="0" borderId="31" xfId="0" applyNumberFormat="1" applyFont="1" applyBorder="1" applyAlignment="1" applyProtection="1">
      <alignment vertical="center"/>
      <protection locked="0"/>
    </xf>
    <xf numFmtId="3" fontId="19" fillId="0" borderId="40" xfId="1" applyNumberFormat="1" applyFont="1" applyBorder="1" applyAlignment="1" applyProtection="1">
      <alignment vertical="center"/>
      <protection locked="0"/>
    </xf>
    <xf numFmtId="3" fontId="19" fillId="0" borderId="66" xfId="0" applyNumberFormat="1" applyFont="1" applyBorder="1" applyAlignment="1" applyProtection="1">
      <alignment vertical="center"/>
      <protection locked="0"/>
    </xf>
    <xf numFmtId="3" fontId="19" fillId="0" borderId="64" xfId="0" applyNumberFormat="1" applyFont="1" applyBorder="1" applyAlignment="1" applyProtection="1">
      <alignment vertical="center"/>
      <protection locked="0"/>
    </xf>
    <xf numFmtId="0" fontId="19" fillId="0" borderId="24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32" xfId="0" applyFont="1" applyBorder="1" applyAlignment="1" applyProtection="1">
      <alignment vertical="center"/>
      <protection locked="0"/>
    </xf>
    <xf numFmtId="0" fontId="19" fillId="0" borderId="51" xfId="0" applyFont="1" applyBorder="1" applyAlignment="1" applyProtection="1">
      <alignment vertic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3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6" fillId="0" borderId="10" xfId="0" applyFont="1" applyBorder="1" applyProtection="1"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3" fontId="11" fillId="0" borderId="2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0" fillId="12" borderId="0" xfId="0" applyFont="1" applyFill="1" applyAlignment="1" applyProtection="1">
      <alignment vertical="center"/>
    </xf>
    <xf numFmtId="0" fontId="11" fillId="12" borderId="0" xfId="0" applyFont="1" applyFill="1" applyAlignment="1" applyProtection="1">
      <alignment vertical="center"/>
    </xf>
    <xf numFmtId="3" fontId="19" fillId="3" borderId="1" xfId="1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Protection="1">
      <protection locked="0"/>
    </xf>
    <xf numFmtId="0" fontId="1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3" fontId="16" fillId="0" borderId="0" xfId="1" applyNumberFormat="1" applyFont="1" applyAlignment="1" applyProtection="1">
      <alignment horizontal="right" vertical="center"/>
    </xf>
    <xf numFmtId="3" fontId="16" fillId="0" borderId="0" xfId="1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3" fontId="20" fillId="0" borderId="0" xfId="1" applyNumberFormat="1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4" borderId="1" xfId="0" applyFont="1" applyFill="1" applyBorder="1" applyAlignment="1" applyProtection="1">
      <alignment vertical="center"/>
    </xf>
    <xf numFmtId="3" fontId="19" fillId="4" borderId="1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12" borderId="0" xfId="0" applyFont="1" applyFill="1" applyAlignment="1" applyProtection="1">
      <alignment vertical="center"/>
    </xf>
    <xf numFmtId="3" fontId="19" fillId="7" borderId="1" xfId="1" applyNumberFormat="1" applyFont="1" applyFill="1" applyBorder="1" applyAlignment="1" applyProtection="1">
      <alignment horizontal="right" vertical="center"/>
    </xf>
    <xf numFmtId="3" fontId="11" fillId="3" borderId="2" xfId="0" applyNumberFormat="1" applyFont="1" applyFill="1" applyBorder="1" applyAlignment="1" applyProtection="1">
      <alignment vertical="center"/>
    </xf>
    <xf numFmtId="0" fontId="20" fillId="4" borderId="40" xfId="0" applyFont="1" applyFill="1" applyBorder="1" applyAlignment="1" applyProtection="1">
      <alignment vertical="center"/>
    </xf>
    <xf numFmtId="3" fontId="19" fillId="4" borderId="40" xfId="1" applyNumberFormat="1" applyFont="1" applyFill="1" applyBorder="1" applyAlignment="1" applyProtection="1">
      <alignment horizontal="right" vertical="center"/>
    </xf>
    <xf numFmtId="3" fontId="19" fillId="9" borderId="1" xfId="1" applyNumberFormat="1" applyFont="1" applyFill="1" applyBorder="1" applyAlignment="1" applyProtection="1">
      <alignment horizontal="right" vertical="center"/>
    </xf>
    <xf numFmtId="0" fontId="17" fillId="2" borderId="1" xfId="0" applyFont="1" applyFill="1" applyBorder="1" applyAlignment="1" applyProtection="1">
      <alignment horizontal="center" vertical="center"/>
    </xf>
    <xf numFmtId="3" fontId="17" fillId="2" borderId="1" xfId="1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  <protection locked="0"/>
    </xf>
    <xf numFmtId="168" fontId="16" fillId="0" borderId="2" xfId="5" applyNumberFormat="1" applyFont="1" applyBorder="1" applyAlignment="1" applyProtection="1">
      <alignment vertical="center"/>
      <protection locked="0"/>
    </xf>
    <xf numFmtId="3" fontId="19" fillId="0" borderId="2" xfId="0" applyNumberFormat="1" applyFont="1" applyFill="1" applyBorder="1" applyAlignment="1" applyProtection="1">
      <alignment vertical="center"/>
      <protection locked="0"/>
    </xf>
    <xf numFmtId="3" fontId="19" fillId="0" borderId="19" xfId="3" applyNumberFormat="1" applyFont="1" applyBorder="1" applyProtection="1">
      <protection locked="0"/>
    </xf>
    <xf numFmtId="3" fontId="19" fillId="0" borderId="5" xfId="3" applyNumberFormat="1" applyFont="1" applyBorder="1" applyProtection="1">
      <protection locked="0"/>
    </xf>
    <xf numFmtId="3" fontId="19" fillId="0" borderId="39" xfId="3" applyNumberFormat="1" applyFont="1" applyBorder="1" applyProtection="1">
      <protection locked="0"/>
    </xf>
    <xf numFmtId="3" fontId="19" fillId="0" borderId="14" xfId="3" applyNumberFormat="1" applyFont="1" applyBorder="1" applyProtection="1">
      <protection locked="0"/>
    </xf>
    <xf numFmtId="3" fontId="19" fillId="0" borderId="2" xfId="3" applyNumberFormat="1" applyFont="1" applyBorder="1" applyProtection="1">
      <protection locked="0"/>
    </xf>
    <xf numFmtId="3" fontId="19" fillId="0" borderId="0" xfId="3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3" fontId="21" fillId="0" borderId="12" xfId="1" applyNumberFormat="1" applyFont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13" xfId="0" applyFont="1" applyFill="1" applyBorder="1" applyAlignment="1" applyProtection="1">
      <alignment horizontal="left" vertical="center"/>
      <protection locked="0"/>
    </xf>
    <xf numFmtId="3" fontId="21" fillId="0" borderId="12" xfId="1" applyNumberFormat="1" applyFont="1" applyFill="1" applyBorder="1" applyAlignment="1" applyProtection="1">
      <alignment horizontal="right" vertical="center"/>
      <protection locked="0"/>
    </xf>
    <xf numFmtId="168" fontId="21" fillId="0" borderId="11" xfId="0" applyNumberFormat="1" applyFont="1" applyFill="1" applyBorder="1" applyAlignment="1" applyProtection="1">
      <alignment horizontal="left" vertical="center"/>
      <protection locked="0"/>
    </xf>
    <xf numFmtId="3" fontId="16" fillId="0" borderId="12" xfId="1" applyNumberFormat="1" applyFont="1" applyBorder="1" applyAlignment="1" applyProtection="1">
      <alignment horizontal="right"/>
      <protection locked="0"/>
    </xf>
    <xf numFmtId="3" fontId="16" fillId="0" borderId="9" xfId="1" applyNumberFormat="1" applyFont="1" applyBorder="1" applyAlignment="1" applyProtection="1">
      <alignment horizontal="right"/>
      <protection locked="0"/>
    </xf>
    <xf numFmtId="0" fontId="21" fillId="0" borderId="32" xfId="0" applyFont="1" applyBorder="1" applyAlignment="1" applyProtection="1">
      <alignment horizontal="left" vertical="center"/>
      <protection locked="0"/>
    </xf>
    <xf numFmtId="0" fontId="21" fillId="0" borderId="35" xfId="0" applyFont="1" applyBorder="1" applyAlignment="1" applyProtection="1">
      <alignment horizontal="left" vertical="center"/>
      <protection locked="0"/>
    </xf>
    <xf numFmtId="3" fontId="16" fillId="0" borderId="12" xfId="1" applyNumberFormat="1" applyFont="1" applyFill="1" applyBorder="1" applyAlignment="1" applyProtection="1">
      <alignment horizontal="right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32" xfId="0" applyFont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left" vertical="center"/>
      <protection locked="0"/>
    </xf>
    <xf numFmtId="3" fontId="16" fillId="0" borderId="5" xfId="1" applyNumberFormat="1" applyFon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3" fontId="16" fillId="0" borderId="23" xfId="1" applyNumberFormat="1" applyFont="1" applyBorder="1" applyAlignment="1" applyProtection="1">
      <alignment horizontal="right"/>
      <protection locked="0"/>
    </xf>
    <xf numFmtId="3" fontId="16" fillId="0" borderId="36" xfId="1" applyNumberFormat="1" applyFont="1" applyBorder="1" applyAlignment="1" applyProtection="1">
      <alignment horizontal="right"/>
      <protection locked="0"/>
    </xf>
    <xf numFmtId="3" fontId="16" fillId="0" borderId="37" xfId="1" applyNumberFormat="1" applyFont="1" applyBorder="1" applyAlignment="1" applyProtection="1">
      <alignment horizontal="right"/>
      <protection locked="0"/>
    </xf>
    <xf numFmtId="168" fontId="21" fillId="0" borderId="2" xfId="0" applyNumberFormat="1" applyFont="1" applyFill="1" applyBorder="1" applyAlignment="1" applyProtection="1">
      <alignment horizontal="center"/>
      <protection locked="0"/>
    </xf>
    <xf numFmtId="10" fontId="19" fillId="0" borderId="2" xfId="5" applyNumberFormat="1" applyFont="1" applyBorder="1" applyAlignment="1" applyProtection="1">
      <alignment vertical="center"/>
      <protection locked="0"/>
    </xf>
    <xf numFmtId="0" fontId="20" fillId="4" borderId="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2" xfId="0" applyNumberFormat="1" applyFill="1" applyBorder="1" applyProtection="1">
      <protection locked="0"/>
    </xf>
    <xf numFmtId="3" fontId="3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3" fillId="0" borderId="2" xfId="0" applyNumberFormat="1" applyFont="1" applyBorder="1" applyProtection="1">
      <protection locked="0"/>
    </xf>
    <xf numFmtId="3" fontId="0" fillId="0" borderId="2" xfId="0" applyNumberForma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9" fontId="31" fillId="0" borderId="2" xfId="5" applyFont="1" applyBorder="1" applyProtection="1">
      <protection locked="0"/>
    </xf>
    <xf numFmtId="9" fontId="31" fillId="0" borderId="2" xfId="0" applyNumberFormat="1" applyFont="1" applyBorder="1" applyProtection="1">
      <protection locked="0"/>
    </xf>
    <xf numFmtId="1" fontId="16" fillId="0" borderId="15" xfId="1" applyNumberFormat="1" applyFont="1" applyBorder="1" applyProtection="1">
      <protection locked="0"/>
    </xf>
    <xf numFmtId="3" fontId="16" fillId="0" borderId="15" xfId="1" applyNumberFormat="1" applyFont="1" applyBorder="1" applyProtection="1">
      <protection locked="0"/>
    </xf>
    <xf numFmtId="1" fontId="16" fillId="0" borderId="5" xfId="1" applyNumberFormat="1" applyFont="1" applyBorder="1" applyProtection="1">
      <protection locked="0"/>
    </xf>
    <xf numFmtId="3" fontId="16" fillId="0" borderId="5" xfId="1" applyNumberFormat="1" applyFont="1" applyBorder="1" applyProtection="1">
      <protection locked="0"/>
    </xf>
    <xf numFmtId="3" fontId="16" fillId="0" borderId="27" xfId="1" applyNumberFormat="1" applyFont="1" applyBorder="1" applyProtection="1"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3" fontId="21" fillId="0" borderId="13" xfId="0" applyNumberFormat="1" applyFont="1" applyBorder="1" applyAlignment="1" applyProtection="1">
      <alignment horizontal="right" vertical="center"/>
      <protection locked="0"/>
    </xf>
    <xf numFmtId="3" fontId="21" fillId="0" borderId="33" xfId="0" applyNumberFormat="1" applyFont="1" applyBorder="1" applyAlignment="1" applyProtection="1">
      <alignment horizontal="right" vertical="center"/>
      <protection locked="0"/>
    </xf>
    <xf numFmtId="3" fontId="21" fillId="0" borderId="15" xfId="0" applyNumberFormat="1" applyFont="1" applyBorder="1" applyAlignment="1" applyProtection="1">
      <alignment horizontal="right" vertical="center"/>
      <protection locked="0"/>
    </xf>
    <xf numFmtId="0" fontId="21" fillId="0" borderId="22" xfId="0" applyFont="1" applyFill="1" applyBorder="1" applyAlignment="1" applyProtection="1">
      <alignment horizontal="left" vertical="center"/>
      <protection locked="0"/>
    </xf>
    <xf numFmtId="0" fontId="21" fillId="0" borderId="10" xfId="0" applyFont="1" applyFill="1" applyBorder="1" applyAlignment="1" applyProtection="1">
      <alignment horizontal="left" vertical="center"/>
      <protection locked="0"/>
    </xf>
    <xf numFmtId="3" fontId="21" fillId="0" borderId="4" xfId="0" applyNumberFormat="1" applyFont="1" applyBorder="1" applyAlignment="1" applyProtection="1">
      <alignment horizontal="right" vertical="center"/>
      <protection locked="0"/>
    </xf>
    <xf numFmtId="10" fontId="16" fillId="0" borderId="13" xfId="0" applyNumberFormat="1" applyFont="1" applyBorder="1" applyAlignment="1" applyProtection="1">
      <alignment horizontal="left" vertical="center"/>
      <protection locked="0"/>
    </xf>
    <xf numFmtId="10" fontId="16" fillId="0" borderId="11" xfId="0" applyNumberFormat="1" applyFont="1" applyBorder="1" applyAlignment="1" applyProtection="1">
      <alignment horizontal="left" vertical="center"/>
      <protection locked="0"/>
    </xf>
    <xf numFmtId="3" fontId="3" fillId="3" borderId="2" xfId="0" applyNumberFormat="1" applyFont="1" applyFill="1" applyBorder="1" applyProtection="1"/>
    <xf numFmtId="0" fontId="52" fillId="0" borderId="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12" borderId="38" xfId="0" applyFont="1" applyFill="1" applyBorder="1" applyProtection="1">
      <protection locked="0"/>
    </xf>
    <xf numFmtId="0" fontId="24" fillId="12" borderId="10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4" fillId="12" borderId="20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2" fillId="8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25" xfId="0" applyFont="1" applyBorder="1" applyProtection="1">
      <protection locked="0"/>
    </xf>
    <xf numFmtId="0" fontId="24" fillId="3" borderId="25" xfId="0" applyFont="1" applyFill="1" applyBorder="1" applyProtection="1">
      <protection locked="0"/>
    </xf>
    <xf numFmtId="0" fontId="50" fillId="0" borderId="0" xfId="2" applyFont="1" applyAlignment="1" applyProtection="1">
      <protection locked="0"/>
    </xf>
    <xf numFmtId="3" fontId="21" fillId="0" borderId="12" xfId="1" applyNumberFormat="1" applyFont="1" applyBorder="1" applyAlignment="1" applyProtection="1">
      <alignment horizontal="right" vertical="center"/>
    </xf>
    <xf numFmtId="0" fontId="22" fillId="0" borderId="78" xfId="0" applyFont="1" applyBorder="1" applyAlignment="1">
      <alignment horizontal="center"/>
    </xf>
    <xf numFmtId="0" fontId="26" fillId="0" borderId="79" xfId="0" applyFont="1" applyBorder="1" applyAlignment="1">
      <alignment horizontal="center"/>
    </xf>
    <xf numFmtId="0" fontId="21" fillId="0" borderId="78" xfId="0" applyFont="1" applyFill="1" applyBorder="1" applyAlignment="1" applyProtection="1">
      <alignment horizontal="center"/>
      <protection locked="0"/>
    </xf>
    <xf numFmtId="167" fontId="21" fillId="3" borderId="79" xfId="4" applyNumberFormat="1" applyFont="1" applyFill="1" applyBorder="1" applyAlignment="1">
      <alignment horizontal="center"/>
    </xf>
    <xf numFmtId="0" fontId="21" fillId="5" borderId="80" xfId="0" applyFont="1" applyFill="1" applyBorder="1" applyAlignment="1">
      <alignment horizontal="center"/>
    </xf>
    <xf numFmtId="0" fontId="21" fillId="5" borderId="81" xfId="0" applyFont="1" applyFill="1" applyBorder="1" applyAlignment="1">
      <alignment horizontal="center"/>
    </xf>
    <xf numFmtId="0" fontId="21" fillId="5" borderId="82" xfId="0" applyFont="1" applyFill="1" applyBorder="1" applyAlignment="1">
      <alignment horizontal="center"/>
    </xf>
    <xf numFmtId="0" fontId="21" fillId="5" borderId="83" xfId="0" applyFont="1" applyFill="1" applyBorder="1" applyAlignment="1">
      <alignment horizontal="center"/>
    </xf>
    <xf numFmtId="3" fontId="21" fillId="0" borderId="82" xfId="0" applyNumberFormat="1" applyFont="1" applyBorder="1" applyAlignment="1">
      <alignment horizontal="center"/>
    </xf>
    <xf numFmtId="3" fontId="21" fillId="3" borderId="83" xfId="1" applyNumberFormat="1" applyFont="1" applyFill="1" applyBorder="1" applyAlignment="1">
      <alignment horizontal="right"/>
    </xf>
    <xf numFmtId="3" fontId="21" fillId="0" borderId="78" xfId="0" applyNumberFormat="1" applyFont="1" applyBorder="1" applyAlignment="1">
      <alignment horizontal="center"/>
    </xf>
    <xf numFmtId="3" fontId="21" fillId="3" borderId="79" xfId="1" applyNumberFormat="1" applyFont="1" applyFill="1" applyBorder="1" applyAlignment="1">
      <alignment horizontal="right"/>
    </xf>
    <xf numFmtId="3" fontId="21" fillId="0" borderId="84" xfId="0" applyNumberFormat="1" applyFont="1" applyBorder="1" applyAlignment="1">
      <alignment horizontal="center"/>
    </xf>
    <xf numFmtId="3" fontId="21" fillId="3" borderId="85" xfId="1" applyNumberFormat="1" applyFont="1" applyFill="1" applyBorder="1" applyAlignment="1">
      <alignment horizontal="right"/>
    </xf>
    <xf numFmtId="3" fontId="21" fillId="3" borderId="58" xfId="1" applyNumberFormat="1" applyFont="1" applyFill="1" applyBorder="1" applyAlignment="1">
      <alignment horizontal="right"/>
    </xf>
    <xf numFmtId="0" fontId="21" fillId="8" borderId="65" xfId="0" applyFont="1" applyFill="1" applyBorder="1"/>
    <xf numFmtId="0" fontId="27" fillId="8" borderId="76" xfId="0" applyFont="1" applyFill="1" applyBorder="1" applyAlignment="1">
      <alignment horizontal="center"/>
    </xf>
    <xf numFmtId="0" fontId="36" fillId="8" borderId="76" xfId="0" applyFont="1" applyFill="1" applyBorder="1"/>
    <xf numFmtId="0" fontId="21" fillId="8" borderId="77" xfId="0" applyFont="1" applyFill="1" applyBorder="1"/>
    <xf numFmtId="0" fontId="22" fillId="0" borderId="79" xfId="0" applyFont="1" applyBorder="1" applyAlignment="1">
      <alignment horizontal="center"/>
    </xf>
    <xf numFmtId="0" fontId="21" fillId="0" borderId="84" xfId="0" applyFont="1" applyFill="1" applyBorder="1" applyAlignment="1" applyProtection="1">
      <alignment horizontal="center"/>
      <protection locked="0"/>
    </xf>
    <xf numFmtId="168" fontId="21" fillId="0" borderId="85" xfId="0" applyNumberFormat="1" applyFont="1" applyFill="1" applyBorder="1" applyAlignment="1" applyProtection="1">
      <alignment horizontal="center"/>
      <protection locked="0"/>
    </xf>
    <xf numFmtId="3" fontId="21" fillId="3" borderId="85" xfId="1" applyNumberFormat="1" applyFont="1" applyFill="1" applyBorder="1" applyAlignment="1">
      <alignment horizontal="center"/>
    </xf>
    <xf numFmtId="3" fontId="21" fillId="3" borderId="58" xfId="1" applyNumberFormat="1" applyFont="1" applyFill="1" applyBorder="1" applyAlignment="1">
      <alignment horizontal="center"/>
    </xf>
    <xf numFmtId="0" fontId="20" fillId="0" borderId="1" xfId="0" applyFont="1" applyBorder="1" applyAlignment="1" applyProtection="1">
      <alignment vertical="center"/>
      <protection locked="0"/>
    </xf>
    <xf numFmtId="6" fontId="53" fillId="0" borderId="0" xfId="0" applyNumberFormat="1" applyFont="1" applyProtection="1">
      <protection locked="0"/>
    </xf>
    <xf numFmtId="0" fontId="53" fillId="0" borderId="0" xfId="0" applyFont="1" applyFill="1" applyBorder="1" applyProtection="1">
      <protection locked="0"/>
    </xf>
    <xf numFmtId="3" fontId="21" fillId="3" borderId="12" xfId="1" applyNumberFormat="1" applyFont="1" applyFill="1" applyBorder="1" applyAlignment="1" applyProtection="1">
      <alignment horizontal="right" vertical="center"/>
    </xf>
    <xf numFmtId="1" fontId="0" fillId="16" borderId="2" xfId="0" applyNumberFormat="1" applyFill="1" applyBorder="1"/>
    <xf numFmtId="171" fontId="24" fillId="0" borderId="2" xfId="1" applyNumberFormat="1" applyFont="1" applyBorder="1" applyAlignment="1">
      <alignment horizontal="center"/>
    </xf>
    <xf numFmtId="172" fontId="0" fillId="0" borderId="0" xfId="4" applyNumberFormat="1" applyFont="1"/>
    <xf numFmtId="172" fontId="0" fillId="0" borderId="0" xfId="0" applyNumberFormat="1"/>
    <xf numFmtId="0" fontId="17" fillId="10" borderId="19" xfId="0" applyFont="1" applyFill="1" applyBorder="1" applyAlignment="1">
      <alignment horizontal="center"/>
    </xf>
    <xf numFmtId="0" fontId="17" fillId="10" borderId="39" xfId="0" applyFont="1" applyFill="1" applyBorder="1" applyAlignment="1">
      <alignment horizontal="center"/>
    </xf>
    <xf numFmtId="0" fontId="17" fillId="10" borderId="14" xfId="0" applyFont="1" applyFill="1" applyBorder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2" fillId="4" borderId="2" xfId="0" applyFont="1" applyFill="1" applyBorder="1" applyAlignment="1">
      <alignment horizontal="right" vertical="center"/>
    </xf>
    <xf numFmtId="0" fontId="35" fillId="0" borderId="0" xfId="0" applyFont="1" applyAlignment="1" applyProtection="1">
      <alignment horizontal="center"/>
      <protection locked="0"/>
    </xf>
    <xf numFmtId="0" fontId="21" fillId="0" borderId="2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/>
    </xf>
    <xf numFmtId="0" fontId="20" fillId="0" borderId="5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17" fillId="0" borderId="2" xfId="0" applyFont="1" applyBorder="1" applyAlignment="1">
      <alignment horizontal="center" vertical="center"/>
    </xf>
    <xf numFmtId="0" fontId="22" fillId="4" borderId="39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right" vertical="center"/>
    </xf>
    <xf numFmtId="0" fontId="22" fillId="4" borderId="14" xfId="0" applyFont="1" applyFill="1" applyBorder="1" applyAlignment="1">
      <alignment horizontal="right" vertical="center"/>
    </xf>
    <xf numFmtId="0" fontId="21" fillId="0" borderId="3" xfId="0" applyFont="1" applyBorder="1" applyAlignment="1">
      <alignment horizontal="center" vertical="center" textRotation="90" wrapText="1"/>
    </xf>
    <xf numFmtId="0" fontId="21" fillId="0" borderId="5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22" fillId="2" borderId="19" xfId="0" applyFont="1" applyFill="1" applyBorder="1" applyAlignment="1">
      <alignment horizontal="right" vertical="center"/>
    </xf>
    <xf numFmtId="0" fontId="22" fillId="2" borderId="14" xfId="0" applyFont="1" applyFill="1" applyBorder="1" applyAlignment="1">
      <alignment horizontal="right" vertical="center"/>
    </xf>
    <xf numFmtId="0" fontId="35" fillId="0" borderId="0" xfId="0" applyFont="1" applyAlignment="1" applyProtection="1">
      <alignment horizontal="left"/>
    </xf>
    <xf numFmtId="0" fontId="17" fillId="10" borderId="54" xfId="0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0" fontId="17" fillId="10" borderId="54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3" fontId="20" fillId="0" borderId="19" xfId="1" applyNumberFormat="1" applyFont="1" applyBorder="1" applyAlignment="1" applyProtection="1">
      <alignment horizontal="center" vertical="center"/>
      <protection locked="0"/>
    </xf>
    <xf numFmtId="3" fontId="20" fillId="0" borderId="14" xfId="1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7" fillId="10" borderId="48" xfId="0" applyFont="1" applyFill="1" applyBorder="1" applyAlignment="1">
      <alignment horizontal="center" vertical="center"/>
    </xf>
    <xf numFmtId="0" fontId="17" fillId="10" borderId="46" xfId="0" applyFont="1" applyFill="1" applyBorder="1" applyAlignment="1">
      <alignment horizontal="center" vertical="center"/>
    </xf>
    <xf numFmtId="0" fontId="17" fillId="10" borderId="45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20" fillId="0" borderId="3" xfId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8" fillId="0" borderId="76" xfId="0" applyFont="1" applyBorder="1" applyAlignment="1">
      <alignment horizontal="center"/>
    </xf>
    <xf numFmtId="0" fontId="20" fillId="10" borderId="48" xfId="0" applyFont="1" applyFill="1" applyBorder="1" applyAlignment="1">
      <alignment horizontal="center"/>
    </xf>
    <xf numFmtId="0" fontId="20" fillId="10" borderId="46" xfId="0" applyFont="1" applyFill="1" applyBorder="1" applyAlignment="1">
      <alignment horizontal="center"/>
    </xf>
    <xf numFmtId="0" fontId="20" fillId="10" borderId="45" xfId="0" applyFont="1" applyFill="1" applyBorder="1" applyAlignment="1">
      <alignment horizontal="center"/>
    </xf>
    <xf numFmtId="0" fontId="20" fillId="10" borderId="19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10" borderId="14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2" fillId="4" borderId="73" xfId="0" applyFont="1" applyFill="1" applyBorder="1" applyAlignment="1">
      <alignment horizontal="center" vertical="center"/>
    </xf>
    <xf numFmtId="0" fontId="22" fillId="4" borderId="74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4" fillId="0" borderId="4" xfId="0" applyFont="1" applyBorder="1" applyAlignment="1">
      <alignment vertical="center" textRotation="90" wrapText="1"/>
    </xf>
    <xf numFmtId="0" fontId="24" fillId="0" borderId="2" xfId="0" applyFont="1" applyBorder="1" applyAlignment="1">
      <alignment vertical="center" textRotation="90" wrapText="1"/>
    </xf>
    <xf numFmtId="0" fontId="17" fillId="2" borderId="48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textRotation="90" wrapText="1"/>
    </xf>
    <xf numFmtId="0" fontId="24" fillId="0" borderId="5" xfId="0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/>
    </xf>
    <xf numFmtId="0" fontId="24" fillId="0" borderId="5" xfId="0" applyFont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textRotation="90"/>
    </xf>
    <xf numFmtId="0" fontId="35" fillId="0" borderId="47" xfId="0" applyFont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17" fillId="10" borderId="19" xfId="0" applyFont="1" applyFill="1" applyBorder="1" applyAlignment="1">
      <alignment horizontal="center" vertical="center"/>
    </xf>
    <xf numFmtId="0" fontId="17" fillId="10" borderId="39" xfId="0" applyFont="1" applyFill="1" applyBorder="1" applyAlignment="1">
      <alignment horizontal="center" vertical="center"/>
    </xf>
    <xf numFmtId="0" fontId="17" fillId="10" borderId="14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2" fillId="8" borderId="65" xfId="0" applyFont="1" applyFill="1" applyBorder="1" applyAlignment="1">
      <alignment horizontal="center"/>
    </xf>
    <xf numFmtId="0" fontId="22" fillId="8" borderId="76" xfId="0" applyFont="1" applyFill="1" applyBorder="1" applyAlignment="1">
      <alignment horizontal="center"/>
    </xf>
    <xf numFmtId="0" fontId="22" fillId="8" borderId="77" xfId="0" applyFont="1" applyFill="1" applyBorder="1" applyAlignment="1">
      <alignment horizontal="center"/>
    </xf>
    <xf numFmtId="0" fontId="17" fillId="10" borderId="54" xfId="0" applyFont="1" applyFill="1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3" fontId="22" fillId="8" borderId="65" xfId="0" applyNumberFormat="1" applyFont="1" applyFill="1" applyBorder="1" applyAlignment="1">
      <alignment horizontal="center"/>
    </xf>
    <xf numFmtId="3" fontId="22" fillId="8" borderId="76" xfId="0" applyNumberFormat="1" applyFont="1" applyFill="1" applyBorder="1" applyAlignment="1">
      <alignment horizontal="center"/>
    </xf>
    <xf numFmtId="3" fontId="22" fillId="8" borderId="77" xfId="0" applyNumberFormat="1" applyFont="1" applyFill="1" applyBorder="1" applyAlignment="1">
      <alignment horizontal="center"/>
    </xf>
    <xf numFmtId="0" fontId="17" fillId="10" borderId="21" xfId="0" applyFont="1" applyFill="1" applyBorder="1" applyAlignment="1">
      <alignment horizontal="center" vertical="center"/>
    </xf>
    <xf numFmtId="0" fontId="17" fillId="10" borderId="48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17" fillId="10" borderId="45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right"/>
    </xf>
    <xf numFmtId="0" fontId="29" fillId="10" borderId="48" xfId="0" applyFont="1" applyFill="1" applyBorder="1" applyAlignment="1">
      <alignment horizontal="center"/>
    </xf>
    <xf numFmtId="0" fontId="29" fillId="10" borderId="46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right"/>
    </xf>
    <xf numFmtId="0" fontId="29" fillId="10" borderId="48" xfId="0" applyFont="1" applyFill="1" applyBorder="1" applyAlignment="1">
      <alignment horizontal="center" vertical="center"/>
    </xf>
    <xf numFmtId="0" fontId="29" fillId="10" borderId="46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" fontId="10" fillId="0" borderId="0" xfId="0" applyNumberFormat="1" applyFont="1"/>
    <xf numFmtId="172" fontId="3" fillId="0" borderId="0" xfId="0" applyNumberFormat="1" applyFont="1"/>
    <xf numFmtId="0" fontId="1" fillId="0" borderId="0" xfId="0" applyFont="1"/>
    <xf numFmtId="11" fontId="0" fillId="0" borderId="0" xfId="0" applyNumberFormat="1" applyAlignment="1">
      <alignment horizontal="center"/>
    </xf>
    <xf numFmtId="11" fontId="3" fillId="0" borderId="0" xfId="0" applyNumberFormat="1" applyFont="1" applyAlignment="1">
      <alignment horizontal="center"/>
    </xf>
    <xf numFmtId="172" fontId="1" fillId="0" borderId="0" xfId="0" applyNumberFormat="1" applyFont="1"/>
    <xf numFmtId="172" fontId="54" fillId="0" borderId="0" xfId="4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6">
    <cellStyle name="Euro" xfId="1"/>
    <cellStyle name="Lien hypertexte" xfId="2" builtinId="8"/>
    <cellStyle name="Milliers" xfId="3" builtinId="3"/>
    <cellStyle name="Monétaire" xfId="4" builtinId="4"/>
    <cellStyle name="Normal" xfId="0" builtinId="0"/>
    <cellStyle name="Pourcentage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</xdr:rowOff>
    </xdr:from>
    <xdr:to>
      <xdr:col>4</xdr:col>
      <xdr:colOff>657225</xdr:colOff>
      <xdr:row>5</xdr:row>
      <xdr:rowOff>133350</xdr:rowOff>
    </xdr:to>
    <xdr:sp macro="" textlink="">
      <xdr:nvSpPr>
        <xdr:cNvPr id="3" name="ZoneTexte 2"/>
        <xdr:cNvSpPr txBox="1"/>
      </xdr:nvSpPr>
      <xdr:spPr>
        <a:xfrm>
          <a:off x="323850" y="495300"/>
          <a:ext cx="3381375" cy="447675"/>
        </a:xfrm>
        <a:prstGeom prst="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PLAN DE FINANCEMENT</a:t>
          </a:r>
          <a:r>
            <a:rPr lang="fr-FR" sz="1200" baseline="0"/>
            <a:t> : BESOINS - RESSOURCES</a:t>
          </a:r>
        </a:p>
        <a:p>
          <a:endParaRPr lang="fr-FR" sz="1100"/>
        </a:p>
      </xdr:txBody>
    </xdr:sp>
    <xdr:clientData/>
  </xdr:twoCellAnchor>
  <xdr:twoCellAnchor>
    <xdr:from>
      <xdr:col>0</xdr:col>
      <xdr:colOff>171450</xdr:colOff>
      <xdr:row>8</xdr:row>
      <xdr:rowOff>19050</xdr:rowOff>
    </xdr:from>
    <xdr:to>
      <xdr:col>1</xdr:col>
      <xdr:colOff>609600</xdr:colOff>
      <xdr:row>11</xdr:row>
      <xdr:rowOff>47625</xdr:rowOff>
    </xdr:to>
    <xdr:sp macro="" textlink="">
      <xdr:nvSpPr>
        <xdr:cNvPr id="4" name="ZoneTexte 3"/>
        <xdr:cNvSpPr txBox="1"/>
      </xdr:nvSpPr>
      <xdr:spPr>
        <a:xfrm>
          <a:off x="171450" y="1314450"/>
          <a:ext cx="1200150" cy="5429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Détails des investissements</a:t>
          </a:r>
        </a:p>
        <a:p>
          <a:endParaRPr lang="fr-FR" sz="1100"/>
        </a:p>
      </xdr:txBody>
    </xdr:sp>
    <xdr:clientData/>
  </xdr:twoCellAnchor>
  <xdr:twoCellAnchor>
    <xdr:from>
      <xdr:col>1</xdr:col>
      <xdr:colOff>685800</xdr:colOff>
      <xdr:row>8</xdr:row>
      <xdr:rowOff>19050</xdr:rowOff>
    </xdr:from>
    <xdr:to>
      <xdr:col>3</xdr:col>
      <xdr:colOff>361950</xdr:colOff>
      <xdr:row>11</xdr:row>
      <xdr:rowOff>47625</xdr:rowOff>
    </xdr:to>
    <xdr:sp macro="" textlink="">
      <xdr:nvSpPr>
        <xdr:cNvPr id="7" name="ZoneTexte 6"/>
        <xdr:cNvSpPr txBox="1"/>
      </xdr:nvSpPr>
      <xdr:spPr>
        <a:xfrm>
          <a:off x="1447800" y="1314450"/>
          <a:ext cx="1200150" cy="5429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Stock</a:t>
          </a:r>
          <a:r>
            <a:rPr lang="fr-FR" sz="1100" b="1" baseline="0">
              <a:solidFill>
                <a:sysClr val="windowText" lastClr="000000"/>
              </a:solidFill>
            </a:rPr>
            <a:t> de départ</a:t>
          </a:r>
          <a:endParaRPr lang="fr-FR" sz="1100" b="0" baseline="0">
            <a:solidFill>
              <a:schemeClr val="lt1"/>
            </a:solidFill>
          </a:endParaRPr>
        </a:p>
      </xdr:txBody>
    </xdr:sp>
    <xdr:clientData/>
  </xdr:twoCellAnchor>
  <xdr:twoCellAnchor>
    <xdr:from>
      <xdr:col>3</xdr:col>
      <xdr:colOff>419100</xdr:colOff>
      <xdr:row>8</xdr:row>
      <xdr:rowOff>9525</xdr:rowOff>
    </xdr:from>
    <xdr:to>
      <xdr:col>5</xdr:col>
      <xdr:colOff>95250</xdr:colOff>
      <xdr:row>11</xdr:row>
      <xdr:rowOff>38100</xdr:rowOff>
    </xdr:to>
    <xdr:sp macro="" textlink="">
      <xdr:nvSpPr>
        <xdr:cNvPr id="8" name="ZoneTexte 7"/>
        <xdr:cNvSpPr txBox="1"/>
      </xdr:nvSpPr>
      <xdr:spPr>
        <a:xfrm>
          <a:off x="2705100" y="1304925"/>
          <a:ext cx="1200150" cy="5429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Trésorerie de départ</a:t>
          </a:r>
        </a:p>
      </xdr:txBody>
    </xdr:sp>
    <xdr:clientData/>
  </xdr:twoCellAnchor>
  <xdr:twoCellAnchor>
    <xdr:from>
      <xdr:col>0</xdr:col>
      <xdr:colOff>142875</xdr:colOff>
      <xdr:row>11</xdr:row>
      <xdr:rowOff>180976</xdr:rowOff>
    </xdr:from>
    <xdr:to>
      <xdr:col>5</xdr:col>
      <xdr:colOff>104775</xdr:colOff>
      <xdr:row>13</xdr:row>
      <xdr:rowOff>76201</xdr:rowOff>
    </xdr:to>
    <xdr:sp macro="" textlink="">
      <xdr:nvSpPr>
        <xdr:cNvPr id="9" name="ZoneTexte 8"/>
        <xdr:cNvSpPr txBox="1"/>
      </xdr:nvSpPr>
      <xdr:spPr>
        <a:xfrm>
          <a:off x="142875" y="1990726"/>
          <a:ext cx="3771900" cy="24765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Besoin en fonds de roulement</a:t>
          </a:r>
          <a:endParaRPr lang="fr-FR" sz="1200" baseline="0"/>
        </a:p>
        <a:p>
          <a:endParaRPr lang="fr-FR" sz="1100"/>
        </a:p>
      </xdr:txBody>
    </xdr:sp>
    <xdr:clientData/>
  </xdr:twoCellAnchor>
  <xdr:twoCellAnchor>
    <xdr:from>
      <xdr:col>0</xdr:col>
      <xdr:colOff>285750</xdr:colOff>
      <xdr:row>17</xdr:row>
      <xdr:rowOff>9525</xdr:rowOff>
    </xdr:from>
    <xdr:to>
      <xdr:col>4</xdr:col>
      <xdr:colOff>619125</xdr:colOff>
      <xdr:row>19</xdr:row>
      <xdr:rowOff>133350</xdr:rowOff>
    </xdr:to>
    <xdr:sp macro="" textlink="">
      <xdr:nvSpPr>
        <xdr:cNvPr id="10" name="ZoneTexte 9"/>
        <xdr:cNvSpPr txBox="1"/>
      </xdr:nvSpPr>
      <xdr:spPr>
        <a:xfrm>
          <a:off x="285750" y="2819400"/>
          <a:ext cx="3381375" cy="447675"/>
        </a:xfrm>
        <a:prstGeom prst="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COMPTE DE RESULTAT PREVISIONNEL</a:t>
          </a:r>
          <a:endParaRPr lang="fr-FR" sz="1200" baseline="0"/>
        </a:p>
        <a:p>
          <a:endParaRPr lang="fr-FR" sz="1100"/>
        </a:p>
      </xdr:txBody>
    </xdr:sp>
    <xdr:clientData/>
  </xdr:twoCellAnchor>
  <xdr:twoCellAnchor>
    <xdr:from>
      <xdr:col>0</xdr:col>
      <xdr:colOff>314325</xdr:colOff>
      <xdr:row>21</xdr:row>
      <xdr:rowOff>133350</xdr:rowOff>
    </xdr:from>
    <xdr:to>
      <xdr:col>1</xdr:col>
      <xdr:colOff>752475</xdr:colOff>
      <xdr:row>25</xdr:row>
      <xdr:rowOff>28575</xdr:rowOff>
    </xdr:to>
    <xdr:sp macro="" textlink="">
      <xdr:nvSpPr>
        <xdr:cNvPr id="11" name="ZoneTexte 10"/>
        <xdr:cNvSpPr txBox="1"/>
      </xdr:nvSpPr>
      <xdr:spPr>
        <a:xfrm>
          <a:off x="314325" y="3590925"/>
          <a:ext cx="1200150" cy="5429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Détails des charges fixes</a:t>
          </a:r>
          <a:endParaRPr lang="fr-FR" sz="1100" b="0" baseline="0">
            <a:solidFill>
              <a:schemeClr val="lt1"/>
            </a:solidFill>
          </a:endParaRPr>
        </a:p>
      </xdr:txBody>
    </xdr:sp>
    <xdr:clientData/>
  </xdr:twoCellAnchor>
  <xdr:twoCellAnchor>
    <xdr:from>
      <xdr:col>0</xdr:col>
      <xdr:colOff>180975</xdr:colOff>
      <xdr:row>28</xdr:row>
      <xdr:rowOff>9525</xdr:rowOff>
    </xdr:from>
    <xdr:to>
      <xdr:col>5</xdr:col>
      <xdr:colOff>142875</xdr:colOff>
      <xdr:row>29</xdr:row>
      <xdr:rowOff>95250</xdr:rowOff>
    </xdr:to>
    <xdr:sp macro="" textlink="">
      <xdr:nvSpPr>
        <xdr:cNvPr id="12" name="ZoneTexte 11"/>
        <xdr:cNvSpPr txBox="1"/>
      </xdr:nvSpPr>
      <xdr:spPr>
        <a:xfrm>
          <a:off x="180975" y="4600575"/>
          <a:ext cx="3771900" cy="24765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CAF</a:t>
          </a:r>
          <a:endParaRPr lang="fr-FR" sz="1200" baseline="0"/>
        </a:p>
        <a:p>
          <a:endParaRPr lang="fr-FR" sz="1100"/>
        </a:p>
      </xdr:txBody>
    </xdr:sp>
    <xdr:clientData/>
  </xdr:twoCellAnchor>
  <xdr:twoCellAnchor>
    <xdr:from>
      <xdr:col>0</xdr:col>
      <xdr:colOff>228600</xdr:colOff>
      <xdr:row>32</xdr:row>
      <xdr:rowOff>0</xdr:rowOff>
    </xdr:from>
    <xdr:to>
      <xdr:col>4</xdr:col>
      <xdr:colOff>561975</xdr:colOff>
      <xdr:row>34</xdr:row>
      <xdr:rowOff>123825</xdr:rowOff>
    </xdr:to>
    <xdr:sp macro="" textlink="">
      <xdr:nvSpPr>
        <xdr:cNvPr id="13" name="ZoneTexte 12"/>
        <xdr:cNvSpPr txBox="1"/>
      </xdr:nvSpPr>
      <xdr:spPr>
        <a:xfrm>
          <a:off x="228600" y="5238750"/>
          <a:ext cx="3381375" cy="447675"/>
        </a:xfrm>
        <a:prstGeom prst="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TRESORERIE</a:t>
          </a:r>
          <a:endParaRPr lang="fr-FR" sz="1200" baseline="0"/>
        </a:p>
        <a:p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114300</xdr:rowOff>
    </xdr:from>
    <xdr:to>
      <xdr:col>4</xdr:col>
      <xdr:colOff>676275</xdr:colOff>
      <xdr:row>16</xdr:row>
      <xdr:rowOff>114300</xdr:rowOff>
    </xdr:to>
    <xdr:sp macro="" textlink="">
      <xdr:nvSpPr>
        <xdr:cNvPr id="11361" name="Line 9"/>
        <xdr:cNvSpPr>
          <a:spLocks noChangeShapeType="1"/>
        </xdr:cNvSpPr>
      </xdr:nvSpPr>
      <xdr:spPr bwMode="auto">
        <a:xfrm>
          <a:off x="3228975" y="36290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16</xdr:row>
      <xdr:rowOff>123825</xdr:rowOff>
    </xdr:from>
    <xdr:to>
      <xdr:col>1</xdr:col>
      <xdr:colOff>333375</xdr:colOff>
      <xdr:row>18</xdr:row>
      <xdr:rowOff>76200</xdr:rowOff>
    </xdr:to>
    <xdr:sp macro="" textlink="">
      <xdr:nvSpPr>
        <xdr:cNvPr id="11362" name="Line 10"/>
        <xdr:cNvSpPr>
          <a:spLocks noChangeShapeType="1"/>
        </xdr:cNvSpPr>
      </xdr:nvSpPr>
      <xdr:spPr bwMode="auto">
        <a:xfrm>
          <a:off x="3248025" y="3638550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20</xdr:row>
      <xdr:rowOff>28575</xdr:rowOff>
    </xdr:from>
    <xdr:to>
      <xdr:col>5</xdr:col>
      <xdr:colOff>219075</xdr:colOff>
      <xdr:row>26</xdr:row>
      <xdr:rowOff>171450</xdr:rowOff>
    </xdr:to>
    <xdr:sp macro="" textlink="">
      <xdr:nvSpPr>
        <xdr:cNvPr id="11363" name="AutoShape 15"/>
        <xdr:cNvSpPr>
          <a:spLocks/>
        </xdr:cNvSpPr>
      </xdr:nvSpPr>
      <xdr:spPr bwMode="auto">
        <a:xfrm>
          <a:off x="5848350" y="4419600"/>
          <a:ext cx="104775" cy="1400175"/>
        </a:xfrm>
        <a:prstGeom prst="rightBrace">
          <a:avLst>
            <a:gd name="adj1" fmla="val 1113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409575</xdr:colOff>
      <xdr:row>4</xdr:row>
      <xdr:rowOff>9525</xdr:rowOff>
    </xdr:from>
    <xdr:to>
      <xdr:col>2</xdr:col>
      <xdr:colOff>409575</xdr:colOff>
      <xdr:row>4</xdr:row>
      <xdr:rowOff>123825</xdr:rowOff>
    </xdr:to>
    <xdr:sp macro="" textlink="">
      <xdr:nvSpPr>
        <xdr:cNvPr id="11364" name="Line 16"/>
        <xdr:cNvSpPr>
          <a:spLocks noChangeShapeType="1"/>
        </xdr:cNvSpPr>
      </xdr:nvSpPr>
      <xdr:spPr bwMode="auto">
        <a:xfrm>
          <a:off x="3857625" y="9715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32</xdr:row>
      <xdr:rowOff>19050</xdr:rowOff>
    </xdr:from>
    <xdr:to>
      <xdr:col>2</xdr:col>
      <xdr:colOff>0</xdr:colOff>
      <xdr:row>34</xdr:row>
      <xdr:rowOff>123825</xdr:rowOff>
    </xdr:to>
    <xdr:sp macro="" textlink="">
      <xdr:nvSpPr>
        <xdr:cNvPr id="15386" name="AutoShape 1"/>
        <xdr:cNvSpPr>
          <a:spLocks/>
        </xdr:cNvSpPr>
      </xdr:nvSpPr>
      <xdr:spPr bwMode="auto">
        <a:xfrm>
          <a:off x="3219450" y="5391150"/>
          <a:ext cx="123825" cy="428625"/>
        </a:xfrm>
        <a:prstGeom prst="leftBrace">
          <a:avLst>
            <a:gd name="adj1" fmla="val 288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164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164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16451" name="Line 1"/>
        <xdr:cNvSpPr>
          <a:spLocks noChangeShapeType="1"/>
        </xdr:cNvSpPr>
      </xdr:nvSpPr>
      <xdr:spPr bwMode="auto">
        <a:xfrm>
          <a:off x="8877300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16452" name="Line 2"/>
        <xdr:cNvSpPr>
          <a:spLocks noChangeShapeType="1"/>
        </xdr:cNvSpPr>
      </xdr:nvSpPr>
      <xdr:spPr bwMode="auto">
        <a:xfrm>
          <a:off x="887730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16453" name="Line 3"/>
        <xdr:cNvSpPr>
          <a:spLocks noChangeShapeType="1"/>
        </xdr:cNvSpPr>
      </xdr:nvSpPr>
      <xdr:spPr bwMode="auto">
        <a:xfrm>
          <a:off x="97821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8877300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887730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97821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1619250</xdr:colOff>
      <xdr:row>14</xdr:row>
      <xdr:rowOff>0</xdr:rowOff>
    </xdr:from>
    <xdr:to>
      <xdr:col>0</xdr:col>
      <xdr:colOff>1857375</xdr:colOff>
      <xdr:row>14</xdr:row>
      <xdr:rowOff>0</xdr:rowOff>
    </xdr:to>
    <xdr:sp macro="" textlink="">
      <xdr:nvSpPr>
        <xdr:cNvPr id="3073" name="Texte 43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1562100</xdr:colOff>
      <xdr:row>14</xdr:row>
      <xdr:rowOff>0</xdr:rowOff>
    </xdr:from>
    <xdr:to>
      <xdr:col>0</xdr:col>
      <xdr:colOff>1800225</xdr:colOff>
      <xdr:row>14</xdr:row>
      <xdr:rowOff>0</xdr:rowOff>
    </xdr:to>
    <xdr:sp macro="" textlink="">
      <xdr:nvSpPr>
        <xdr:cNvPr id="3074" name="Texte 44"/>
        <xdr:cNvSpPr txBox="1">
          <a:spLocks noChangeArrowheads="1"/>
        </xdr:cNvSpPr>
      </xdr:nvSpPr>
      <xdr:spPr bwMode="auto">
        <a:xfrm>
          <a:off x="15621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0</xdr:col>
      <xdr:colOff>1638300</xdr:colOff>
      <xdr:row>14</xdr:row>
      <xdr:rowOff>0</xdr:rowOff>
    </xdr:from>
    <xdr:to>
      <xdr:col>0</xdr:col>
      <xdr:colOff>1876425</xdr:colOff>
      <xdr:row>14</xdr:row>
      <xdr:rowOff>0</xdr:rowOff>
    </xdr:to>
    <xdr:sp macro="" textlink="">
      <xdr:nvSpPr>
        <xdr:cNvPr id="3075" name="Texte 46"/>
        <xdr:cNvSpPr txBox="1">
          <a:spLocks noChangeArrowheads="1"/>
        </xdr:cNvSpPr>
      </xdr:nvSpPr>
      <xdr:spPr bwMode="auto">
        <a:xfrm>
          <a:off x="16383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1619250</xdr:colOff>
      <xdr:row>14</xdr:row>
      <xdr:rowOff>0</xdr:rowOff>
    </xdr:from>
    <xdr:to>
      <xdr:col>0</xdr:col>
      <xdr:colOff>1857375</xdr:colOff>
      <xdr:row>14</xdr:row>
      <xdr:rowOff>0</xdr:rowOff>
    </xdr:to>
    <xdr:sp macro="" textlink="">
      <xdr:nvSpPr>
        <xdr:cNvPr id="3076" name="Texte 45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3" name="Line 5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4" name="Line 6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5" name="Texte 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6" name="Texte 1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7" name="Texte 2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8" name="Texte 3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9" name="Texte 38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0" name="Texte 3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14</xdr:row>
      <xdr:rowOff>0</xdr:rowOff>
    </xdr:from>
    <xdr:to>
      <xdr:col>0</xdr:col>
      <xdr:colOff>1752600</xdr:colOff>
      <xdr:row>14</xdr:row>
      <xdr:rowOff>0</xdr:rowOff>
    </xdr:to>
    <xdr:sp macro="" textlink="">
      <xdr:nvSpPr>
        <xdr:cNvPr id="23921" name="Texte 41"/>
        <xdr:cNvSpPr txBox="1">
          <a:spLocks noChangeArrowheads="1"/>
        </xdr:cNvSpPr>
      </xdr:nvSpPr>
      <xdr:spPr bwMode="auto">
        <a:xfrm>
          <a:off x="1514475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1724025</xdr:colOff>
      <xdr:row>14</xdr:row>
      <xdr:rowOff>0</xdr:rowOff>
    </xdr:to>
    <xdr:sp macro="" textlink="">
      <xdr:nvSpPr>
        <xdr:cNvPr id="23922" name="Texte 42"/>
        <xdr:cNvSpPr txBox="1">
          <a:spLocks noChangeArrowheads="1"/>
        </xdr:cNvSpPr>
      </xdr:nvSpPr>
      <xdr:spPr bwMode="auto">
        <a:xfrm>
          <a:off x="14859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1724025</xdr:colOff>
      <xdr:row>14</xdr:row>
      <xdr:rowOff>0</xdr:rowOff>
    </xdr:to>
    <xdr:sp macro="" textlink="">
      <xdr:nvSpPr>
        <xdr:cNvPr id="23923" name="Texte 28"/>
        <xdr:cNvSpPr txBox="1">
          <a:spLocks noChangeArrowheads="1"/>
        </xdr:cNvSpPr>
      </xdr:nvSpPr>
      <xdr:spPr bwMode="auto">
        <a:xfrm>
          <a:off x="14859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4" name="Texte 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5" name="Texte 1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6" name="Texte 15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7" name="Texte 31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3928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1638300</xdr:colOff>
      <xdr:row>30</xdr:row>
      <xdr:rowOff>0</xdr:rowOff>
    </xdr:from>
    <xdr:to>
      <xdr:col>0</xdr:col>
      <xdr:colOff>1876425</xdr:colOff>
      <xdr:row>30</xdr:row>
      <xdr:rowOff>0</xdr:rowOff>
    </xdr:to>
    <xdr:sp macro="" textlink="">
      <xdr:nvSpPr>
        <xdr:cNvPr id="3100" name="Texte 46"/>
        <xdr:cNvSpPr txBox="1">
          <a:spLocks noChangeArrowheads="1"/>
        </xdr:cNvSpPr>
      </xdr:nvSpPr>
      <xdr:spPr bwMode="auto">
        <a:xfrm>
          <a:off x="16383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1619250</xdr:colOff>
      <xdr:row>30</xdr:row>
      <xdr:rowOff>0</xdr:rowOff>
    </xdr:from>
    <xdr:to>
      <xdr:col>0</xdr:col>
      <xdr:colOff>1857375</xdr:colOff>
      <xdr:row>30</xdr:row>
      <xdr:rowOff>0</xdr:rowOff>
    </xdr:to>
    <xdr:sp macro="" textlink="">
      <xdr:nvSpPr>
        <xdr:cNvPr id="3101" name="Texte 45"/>
        <xdr:cNvSpPr txBox="1">
          <a:spLocks noChangeArrowheads="1"/>
        </xdr:cNvSpPr>
      </xdr:nvSpPr>
      <xdr:spPr bwMode="auto">
        <a:xfrm>
          <a:off x="161925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1" name="Texte 37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2" name="Texte 38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3" name="Texte 3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30</xdr:row>
      <xdr:rowOff>0</xdr:rowOff>
    </xdr:from>
    <xdr:to>
      <xdr:col>0</xdr:col>
      <xdr:colOff>1752600</xdr:colOff>
      <xdr:row>30</xdr:row>
      <xdr:rowOff>0</xdr:rowOff>
    </xdr:to>
    <xdr:sp macro="" textlink="">
      <xdr:nvSpPr>
        <xdr:cNvPr id="23934" name="Texte 41"/>
        <xdr:cNvSpPr txBox="1">
          <a:spLocks noChangeArrowheads="1"/>
        </xdr:cNvSpPr>
      </xdr:nvSpPr>
      <xdr:spPr bwMode="auto">
        <a:xfrm>
          <a:off x="1514475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1724025</xdr:colOff>
      <xdr:row>30</xdr:row>
      <xdr:rowOff>0</xdr:rowOff>
    </xdr:to>
    <xdr:sp macro="" textlink="">
      <xdr:nvSpPr>
        <xdr:cNvPr id="23935" name="Texte 42"/>
        <xdr:cNvSpPr txBox="1">
          <a:spLocks noChangeArrowheads="1"/>
        </xdr:cNvSpPr>
      </xdr:nvSpPr>
      <xdr:spPr bwMode="auto">
        <a:xfrm>
          <a:off x="14859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1724025</xdr:colOff>
      <xdr:row>30</xdr:row>
      <xdr:rowOff>0</xdr:rowOff>
    </xdr:to>
    <xdr:sp macro="" textlink="">
      <xdr:nvSpPr>
        <xdr:cNvPr id="23936" name="Texte 28"/>
        <xdr:cNvSpPr txBox="1">
          <a:spLocks noChangeArrowheads="1"/>
        </xdr:cNvSpPr>
      </xdr:nvSpPr>
      <xdr:spPr bwMode="auto">
        <a:xfrm>
          <a:off x="14859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7" name="Texte 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8" name="Texte 13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9" name="Texte 15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40" name="Texte 31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33</xdr:row>
      <xdr:rowOff>0</xdr:rowOff>
    </xdr:from>
    <xdr:to>
      <xdr:col>0</xdr:col>
      <xdr:colOff>1752600</xdr:colOff>
      <xdr:row>33</xdr:row>
      <xdr:rowOff>0</xdr:rowOff>
    </xdr:to>
    <xdr:sp macro="" textlink="">
      <xdr:nvSpPr>
        <xdr:cNvPr id="23941" name="Texte 41"/>
        <xdr:cNvSpPr txBox="1">
          <a:spLocks noChangeArrowheads="1"/>
        </xdr:cNvSpPr>
      </xdr:nvSpPr>
      <xdr:spPr bwMode="auto">
        <a:xfrm>
          <a:off x="1514475" y="53816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33</xdr:row>
      <xdr:rowOff>0</xdr:rowOff>
    </xdr:from>
    <xdr:to>
      <xdr:col>0</xdr:col>
      <xdr:colOff>1724025</xdr:colOff>
      <xdr:row>33</xdr:row>
      <xdr:rowOff>0</xdr:rowOff>
    </xdr:to>
    <xdr:sp macro="" textlink="">
      <xdr:nvSpPr>
        <xdr:cNvPr id="23942" name="Texte 28"/>
        <xdr:cNvSpPr txBox="1">
          <a:spLocks noChangeArrowheads="1"/>
        </xdr:cNvSpPr>
      </xdr:nvSpPr>
      <xdr:spPr bwMode="auto">
        <a:xfrm>
          <a:off x="1485900" y="53816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3943" name="Texte 9"/>
        <xdr:cNvSpPr txBox="1">
          <a:spLocks noChangeArrowheads="1"/>
        </xdr:cNvSpPr>
      </xdr:nvSpPr>
      <xdr:spPr bwMode="auto">
        <a:xfrm>
          <a:off x="3343275" y="5381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43</xdr:row>
      <xdr:rowOff>0</xdr:rowOff>
    </xdr:from>
    <xdr:to>
      <xdr:col>0</xdr:col>
      <xdr:colOff>1752600</xdr:colOff>
      <xdr:row>43</xdr:row>
      <xdr:rowOff>0</xdr:rowOff>
    </xdr:to>
    <xdr:sp macro="" textlink="">
      <xdr:nvSpPr>
        <xdr:cNvPr id="23944" name="Texte 41"/>
        <xdr:cNvSpPr txBox="1">
          <a:spLocks noChangeArrowheads="1"/>
        </xdr:cNvSpPr>
      </xdr:nvSpPr>
      <xdr:spPr bwMode="auto">
        <a:xfrm>
          <a:off x="1514475" y="6981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43</xdr:row>
      <xdr:rowOff>0</xdr:rowOff>
    </xdr:from>
    <xdr:to>
      <xdr:col>0</xdr:col>
      <xdr:colOff>1724025</xdr:colOff>
      <xdr:row>43</xdr:row>
      <xdr:rowOff>0</xdr:rowOff>
    </xdr:to>
    <xdr:sp macro="" textlink="">
      <xdr:nvSpPr>
        <xdr:cNvPr id="23945" name="Texte 28"/>
        <xdr:cNvSpPr txBox="1">
          <a:spLocks noChangeArrowheads="1"/>
        </xdr:cNvSpPr>
      </xdr:nvSpPr>
      <xdr:spPr bwMode="auto">
        <a:xfrm>
          <a:off x="1485900" y="6981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3946" name="Texte 9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3947" name="Texte 13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3948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53</xdr:row>
      <xdr:rowOff>0</xdr:rowOff>
    </xdr:from>
    <xdr:to>
      <xdr:col>0</xdr:col>
      <xdr:colOff>1752600</xdr:colOff>
      <xdr:row>53</xdr:row>
      <xdr:rowOff>0</xdr:rowOff>
    </xdr:to>
    <xdr:sp macro="" textlink="">
      <xdr:nvSpPr>
        <xdr:cNvPr id="23949" name="Texte 41"/>
        <xdr:cNvSpPr txBox="1">
          <a:spLocks noChangeArrowheads="1"/>
        </xdr:cNvSpPr>
      </xdr:nvSpPr>
      <xdr:spPr bwMode="auto">
        <a:xfrm>
          <a:off x="1514475" y="88392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53</xdr:row>
      <xdr:rowOff>0</xdr:rowOff>
    </xdr:from>
    <xdr:to>
      <xdr:col>0</xdr:col>
      <xdr:colOff>1724025</xdr:colOff>
      <xdr:row>53</xdr:row>
      <xdr:rowOff>0</xdr:rowOff>
    </xdr:to>
    <xdr:sp macro="" textlink="">
      <xdr:nvSpPr>
        <xdr:cNvPr id="23950" name="Texte 28"/>
        <xdr:cNvSpPr txBox="1">
          <a:spLocks noChangeArrowheads="1"/>
        </xdr:cNvSpPr>
      </xdr:nvSpPr>
      <xdr:spPr bwMode="auto">
        <a:xfrm>
          <a:off x="1485900" y="88392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3951" name="Texte 9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3952" name="Texte 13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3953" name="Texte 31"/>
        <xdr:cNvSpPr txBox="1">
          <a:spLocks noChangeArrowheads="1"/>
        </xdr:cNvSpPr>
      </xdr:nvSpPr>
      <xdr:spPr bwMode="auto">
        <a:xfrm>
          <a:off x="3343275" y="10125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15</xdr:row>
      <xdr:rowOff>0</xdr:rowOff>
    </xdr:from>
    <xdr:to>
      <xdr:col>3</xdr:col>
      <xdr:colOff>85725</xdr:colOff>
      <xdr:row>15</xdr:row>
      <xdr:rowOff>0</xdr:rowOff>
    </xdr:to>
    <xdr:sp macro="" textlink="">
      <xdr:nvSpPr>
        <xdr:cNvPr id="5367" name="Line 1"/>
        <xdr:cNvSpPr>
          <a:spLocks noChangeShapeType="1"/>
        </xdr:cNvSpPr>
      </xdr:nvSpPr>
      <xdr:spPr bwMode="auto">
        <a:xfrm>
          <a:off x="40481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1038225</xdr:colOff>
      <xdr:row>15</xdr:row>
      <xdr:rowOff>0</xdr:rowOff>
    </xdr:from>
    <xdr:to>
      <xdr:col>3</xdr:col>
      <xdr:colOff>876300</xdr:colOff>
      <xdr:row>15</xdr:row>
      <xdr:rowOff>0</xdr:rowOff>
    </xdr:to>
    <xdr:sp macro="" textlink="">
      <xdr:nvSpPr>
        <xdr:cNvPr id="5368" name="Line 2"/>
        <xdr:cNvSpPr>
          <a:spLocks noChangeShapeType="1"/>
        </xdr:cNvSpPr>
      </xdr:nvSpPr>
      <xdr:spPr bwMode="auto">
        <a:xfrm>
          <a:off x="48387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5369" name="Line 3"/>
        <xdr:cNvSpPr>
          <a:spLocks noChangeShapeType="1"/>
        </xdr:cNvSpPr>
      </xdr:nvSpPr>
      <xdr:spPr bwMode="auto">
        <a:xfrm>
          <a:off x="49244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5370" name="Line 4"/>
        <xdr:cNvSpPr>
          <a:spLocks noChangeShapeType="1"/>
        </xdr:cNvSpPr>
      </xdr:nvSpPr>
      <xdr:spPr bwMode="auto">
        <a:xfrm>
          <a:off x="57531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5371" name="Line 5"/>
        <xdr:cNvSpPr>
          <a:spLocks noChangeShapeType="1"/>
        </xdr:cNvSpPr>
      </xdr:nvSpPr>
      <xdr:spPr bwMode="auto">
        <a:xfrm>
          <a:off x="58388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5372" name="Line 6"/>
        <xdr:cNvSpPr>
          <a:spLocks noChangeShapeType="1"/>
        </xdr:cNvSpPr>
      </xdr:nvSpPr>
      <xdr:spPr bwMode="auto">
        <a:xfrm>
          <a:off x="66675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5373" name="Line 7"/>
        <xdr:cNvSpPr>
          <a:spLocks noChangeShapeType="1"/>
        </xdr:cNvSpPr>
      </xdr:nvSpPr>
      <xdr:spPr bwMode="auto">
        <a:xfrm>
          <a:off x="49244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5374" name="Line 8"/>
        <xdr:cNvSpPr>
          <a:spLocks noChangeShapeType="1"/>
        </xdr:cNvSpPr>
      </xdr:nvSpPr>
      <xdr:spPr bwMode="auto">
        <a:xfrm>
          <a:off x="57531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5375" name="Line 9"/>
        <xdr:cNvSpPr>
          <a:spLocks noChangeShapeType="1"/>
        </xdr:cNvSpPr>
      </xdr:nvSpPr>
      <xdr:spPr bwMode="auto">
        <a:xfrm>
          <a:off x="58388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5376" name="Line 10"/>
        <xdr:cNvSpPr>
          <a:spLocks noChangeShapeType="1"/>
        </xdr:cNvSpPr>
      </xdr:nvSpPr>
      <xdr:spPr bwMode="auto">
        <a:xfrm>
          <a:off x="66675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31</xdr:row>
      <xdr:rowOff>133350</xdr:rowOff>
    </xdr:from>
    <xdr:to>
      <xdr:col>7</xdr:col>
      <xdr:colOff>0</xdr:colOff>
      <xdr:row>31</xdr:row>
      <xdr:rowOff>133350</xdr:rowOff>
    </xdr:to>
    <xdr:sp macro="" textlink="">
      <xdr:nvSpPr>
        <xdr:cNvPr id="5377" name="Line 25"/>
        <xdr:cNvSpPr>
          <a:spLocks noChangeShapeType="1"/>
        </xdr:cNvSpPr>
      </xdr:nvSpPr>
      <xdr:spPr bwMode="auto">
        <a:xfrm flipH="1">
          <a:off x="6762750" y="89820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20524" name="Line 1"/>
        <xdr:cNvSpPr>
          <a:spLocks noChangeShapeType="1"/>
        </xdr:cNvSpPr>
      </xdr:nvSpPr>
      <xdr:spPr bwMode="auto">
        <a:xfrm>
          <a:off x="2324100" y="4772025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17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20525" name="Line 3"/>
        <xdr:cNvSpPr>
          <a:spLocks noChangeShapeType="1"/>
        </xdr:cNvSpPr>
      </xdr:nvSpPr>
      <xdr:spPr bwMode="auto">
        <a:xfrm flipV="1">
          <a:off x="3600450" y="3629025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11</xdr:row>
      <xdr:rowOff>0</xdr:rowOff>
    </xdr:from>
    <xdr:to>
      <xdr:col>5</xdr:col>
      <xdr:colOff>723900</xdr:colOff>
      <xdr:row>16</xdr:row>
      <xdr:rowOff>0</xdr:rowOff>
    </xdr:to>
    <xdr:sp macro="" textlink="">
      <xdr:nvSpPr>
        <xdr:cNvPr id="14380" name="AutoShape 7"/>
        <xdr:cNvSpPr>
          <a:spLocks/>
        </xdr:cNvSpPr>
      </xdr:nvSpPr>
      <xdr:spPr bwMode="auto">
        <a:xfrm>
          <a:off x="6543675" y="2724150"/>
          <a:ext cx="409575" cy="1238250"/>
        </a:xfrm>
        <a:prstGeom prst="leftBrace">
          <a:avLst>
            <a:gd name="adj1" fmla="val 25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190500</xdr:rowOff>
    </xdr:from>
    <xdr:to>
      <xdr:col>1</xdr:col>
      <xdr:colOff>0</xdr:colOff>
      <xdr:row>5</xdr:row>
      <xdr:rowOff>190500</xdr:rowOff>
    </xdr:to>
    <xdr:sp macro="" textlink="">
      <xdr:nvSpPr>
        <xdr:cNvPr id="9350" name="Line 3"/>
        <xdr:cNvSpPr>
          <a:spLocks noChangeShapeType="1"/>
        </xdr:cNvSpPr>
      </xdr:nvSpPr>
      <xdr:spPr bwMode="auto">
        <a:xfrm flipV="1">
          <a:off x="2905125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190500</xdr:rowOff>
    </xdr:from>
    <xdr:to>
      <xdr:col>1</xdr:col>
      <xdr:colOff>0</xdr:colOff>
      <xdr:row>7</xdr:row>
      <xdr:rowOff>190500</xdr:rowOff>
    </xdr:to>
    <xdr:sp macro="" textlink="">
      <xdr:nvSpPr>
        <xdr:cNvPr id="9351" name="Line 4"/>
        <xdr:cNvSpPr>
          <a:spLocks noChangeShapeType="1"/>
        </xdr:cNvSpPr>
      </xdr:nvSpPr>
      <xdr:spPr bwMode="auto">
        <a:xfrm flipV="1">
          <a:off x="2905125" y="206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714375</xdr:colOff>
      <xdr:row>25</xdr:row>
      <xdr:rowOff>9525</xdr:rowOff>
    </xdr:from>
    <xdr:to>
      <xdr:col>2</xdr:col>
      <xdr:colOff>28575</xdr:colOff>
      <xdr:row>37</xdr:row>
      <xdr:rowOff>38100</xdr:rowOff>
    </xdr:to>
    <xdr:pic>
      <xdr:nvPicPr>
        <xdr:cNvPr id="9352" name="Picture 8" descr="bd04972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6181725"/>
          <a:ext cx="2628900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752475</xdr:colOff>
      <xdr:row>15</xdr:row>
      <xdr:rowOff>85725</xdr:rowOff>
    </xdr:from>
    <xdr:to>
      <xdr:col>8</xdr:col>
      <xdr:colOff>285750</xdr:colOff>
      <xdr:row>23</xdr:row>
      <xdr:rowOff>152400</xdr:rowOff>
    </xdr:to>
    <xdr:sp macro="" textlink="">
      <xdr:nvSpPr>
        <xdr:cNvPr id="9353" name="AutoShape 10"/>
        <xdr:cNvSpPr>
          <a:spLocks/>
        </xdr:cNvSpPr>
      </xdr:nvSpPr>
      <xdr:spPr bwMode="auto">
        <a:xfrm>
          <a:off x="6858000" y="3876675"/>
          <a:ext cx="285750" cy="197167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180975</xdr:colOff>
      <xdr:row>8</xdr:row>
      <xdr:rowOff>142875</xdr:rowOff>
    </xdr:from>
    <xdr:to>
      <xdr:col>8</xdr:col>
      <xdr:colOff>685800</xdr:colOff>
      <xdr:row>8</xdr:row>
      <xdr:rowOff>142875</xdr:rowOff>
    </xdr:to>
    <xdr:sp macro="" textlink="">
      <xdr:nvSpPr>
        <xdr:cNvPr id="9354" name="Line 12"/>
        <xdr:cNvSpPr>
          <a:spLocks noChangeShapeType="1"/>
        </xdr:cNvSpPr>
      </xdr:nvSpPr>
      <xdr:spPr bwMode="auto">
        <a:xfrm flipH="1">
          <a:off x="7038975" y="22669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352425</xdr:colOff>
      <xdr:row>19</xdr:row>
      <xdr:rowOff>180975</xdr:rowOff>
    </xdr:from>
    <xdr:to>
      <xdr:col>8</xdr:col>
      <xdr:colOff>752475</xdr:colOff>
      <xdr:row>21</xdr:row>
      <xdr:rowOff>0</xdr:rowOff>
    </xdr:to>
    <xdr:sp macro="" textlink="">
      <xdr:nvSpPr>
        <xdr:cNvPr id="9355" name="Line 13"/>
        <xdr:cNvSpPr>
          <a:spLocks noChangeShapeType="1"/>
        </xdr:cNvSpPr>
      </xdr:nvSpPr>
      <xdr:spPr bwMode="auto">
        <a:xfrm flipH="1" flipV="1">
          <a:off x="7210425" y="49244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95250</xdr:rowOff>
    </xdr:from>
    <xdr:to>
      <xdr:col>7</xdr:col>
      <xdr:colOff>400050</xdr:colOff>
      <xdr:row>4</xdr:row>
      <xdr:rowOff>133350</xdr:rowOff>
    </xdr:to>
    <xdr:sp macro="" textlink="">
      <xdr:nvSpPr>
        <xdr:cNvPr id="7211" name="Line 1"/>
        <xdr:cNvSpPr>
          <a:spLocks noChangeShapeType="1"/>
        </xdr:cNvSpPr>
      </xdr:nvSpPr>
      <xdr:spPr bwMode="auto">
        <a:xfrm>
          <a:off x="4895850" y="8858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390525</xdr:colOff>
      <xdr:row>3</xdr:row>
      <xdr:rowOff>85725</xdr:rowOff>
    </xdr:from>
    <xdr:to>
      <xdr:col>7</xdr:col>
      <xdr:colOff>400050</xdr:colOff>
      <xdr:row>3</xdr:row>
      <xdr:rowOff>85725</xdr:rowOff>
    </xdr:to>
    <xdr:sp macro="" textlink="">
      <xdr:nvSpPr>
        <xdr:cNvPr id="7212" name="Line 2"/>
        <xdr:cNvSpPr>
          <a:spLocks noChangeShapeType="1"/>
        </xdr:cNvSpPr>
      </xdr:nvSpPr>
      <xdr:spPr bwMode="auto">
        <a:xfrm>
          <a:off x="2886075" y="8763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9:E12"/>
  <sheetViews>
    <sheetView workbookViewId="0">
      <selection activeCell="L34" sqref="L34"/>
    </sheetView>
  </sheetViews>
  <sheetFormatPr baseColWidth="10" defaultRowHeight="12.75"/>
  <sheetData>
    <row r="9" spans="4:5" ht="15">
      <c r="E9" s="535"/>
    </row>
    <row r="12" spans="4:5" ht="15">
      <c r="D12" s="535"/>
    </row>
  </sheetData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50"/>
  </sheetPr>
  <dimension ref="A1:K97"/>
  <sheetViews>
    <sheetView zoomScale="106" zoomScaleNormal="106" zoomScalePageLayoutView="75" workbookViewId="0">
      <selection activeCell="C12" sqref="C12"/>
    </sheetView>
  </sheetViews>
  <sheetFormatPr baseColWidth="10" defaultColWidth="10.85546875" defaultRowHeight="15.75"/>
  <cols>
    <col min="1" max="1" width="49.28515625" style="28" customWidth="1"/>
    <col min="2" max="2" width="7.28515625" style="3" customWidth="1"/>
    <col min="3" max="5" width="12.28515625" style="42" customWidth="1"/>
    <col min="6" max="10" width="10.85546875" style="69"/>
    <col min="11" max="16384" width="10.85546875" style="28"/>
  </cols>
  <sheetData>
    <row r="1" spans="1:11" ht="20.100000000000001" customHeight="1">
      <c r="A1" s="704" t="s">
        <v>465</v>
      </c>
      <c r="B1" s="705"/>
      <c r="C1" s="705"/>
      <c r="D1" s="705"/>
      <c r="E1" s="706"/>
    </row>
    <row r="2" spans="1:11" ht="20.100000000000001" customHeight="1">
      <c r="A2" s="317" t="str">
        <f>'1.0 Plan de financement'!A3:C3</f>
        <v>Allizéo Web</v>
      </c>
      <c r="B2" s="133"/>
      <c r="C2" s="120"/>
      <c r="D2" s="120"/>
      <c r="E2" s="120"/>
    </row>
    <row r="3" spans="1:11" ht="20.100000000000001" customHeight="1">
      <c r="A3" s="121"/>
      <c r="B3" s="134"/>
      <c r="C3" s="257" t="s">
        <v>49</v>
      </c>
      <c r="D3" s="257" t="s">
        <v>65</v>
      </c>
      <c r="E3" s="258" t="s">
        <v>51</v>
      </c>
      <c r="F3" s="657"/>
      <c r="G3" s="657"/>
    </row>
    <row r="4" spans="1:11" ht="20.100000000000001" customHeight="1">
      <c r="A4" s="348" t="s">
        <v>297</v>
      </c>
      <c r="B4" s="349"/>
      <c r="C4" s="350"/>
      <c r="D4" s="350"/>
      <c r="E4" s="350"/>
      <c r="F4" s="657"/>
      <c r="G4" s="657"/>
    </row>
    <row r="5" spans="1:11" ht="20.100000000000001" customHeight="1">
      <c r="A5" s="611" t="s">
        <v>66</v>
      </c>
      <c r="B5" s="600"/>
      <c r="C5" s="606"/>
      <c r="D5" s="606"/>
      <c r="E5" s="607"/>
      <c r="F5" s="657"/>
      <c r="G5" s="657"/>
    </row>
    <row r="6" spans="1:11" ht="20.100000000000001" customHeight="1">
      <c r="A6" s="611" t="s">
        <v>436</v>
      </c>
      <c r="B6" s="600"/>
      <c r="C6" s="606"/>
      <c r="D6" s="606">
        <v>2100</v>
      </c>
      <c r="E6" s="607">
        <v>2200</v>
      </c>
      <c r="F6" s="697" t="s">
        <v>527</v>
      </c>
      <c r="G6" s="657"/>
    </row>
    <row r="7" spans="1:11" ht="20.100000000000001" customHeight="1">
      <c r="A7" s="611" t="s">
        <v>435</v>
      </c>
      <c r="B7" s="600"/>
      <c r="C7" s="606"/>
      <c r="D7" s="606"/>
      <c r="E7" s="607"/>
      <c r="F7" s="657"/>
      <c r="G7" s="657"/>
    </row>
    <row r="8" spans="1:11" ht="20.100000000000001" customHeight="1">
      <c r="A8" s="611" t="s">
        <v>67</v>
      </c>
      <c r="B8" s="600"/>
      <c r="C8" s="606">
        <v>10</v>
      </c>
      <c r="D8" s="606"/>
      <c r="E8" s="607"/>
      <c r="F8" s="657"/>
      <c r="G8" s="658"/>
      <c r="H8" s="500"/>
      <c r="I8" s="500"/>
      <c r="J8" s="500"/>
    </row>
    <row r="9" spans="1:11" ht="20.100000000000001" customHeight="1">
      <c r="A9" s="611" t="s">
        <v>68</v>
      </c>
      <c r="B9" s="600"/>
      <c r="C9" s="606"/>
      <c r="D9" s="606"/>
      <c r="E9" s="607"/>
      <c r="F9" s="657"/>
      <c r="G9" s="658"/>
      <c r="H9" s="500"/>
      <c r="I9" s="500"/>
      <c r="J9" s="500"/>
    </row>
    <row r="10" spans="1:11" ht="20.100000000000001" customHeight="1">
      <c r="A10" s="611" t="s">
        <v>69</v>
      </c>
      <c r="B10" s="600"/>
      <c r="C10" s="606">
        <v>200</v>
      </c>
      <c r="D10" s="606">
        <v>250</v>
      </c>
      <c r="E10" s="607">
        <v>500</v>
      </c>
      <c r="F10" s="698" t="s">
        <v>528</v>
      </c>
      <c r="G10" s="658"/>
      <c r="H10" s="500"/>
      <c r="I10" s="500"/>
      <c r="J10" s="500"/>
    </row>
    <row r="11" spans="1:11" ht="20.100000000000001" customHeight="1">
      <c r="A11" s="608" t="s">
        <v>559</v>
      </c>
      <c r="B11" s="609"/>
      <c r="C11" s="606">
        <v>460</v>
      </c>
      <c r="D11" s="606"/>
      <c r="E11" s="607"/>
      <c r="F11" s="657"/>
      <c r="G11" s="658"/>
      <c r="H11" s="500"/>
      <c r="I11" s="500"/>
      <c r="J11" s="500"/>
    </row>
    <row r="12" spans="1:11" s="29" customFormat="1" ht="20.100000000000001" customHeight="1">
      <c r="A12" s="343" t="s">
        <v>19</v>
      </c>
      <c r="B12" s="344"/>
      <c r="C12" s="124">
        <f>SUM(C5:C11)</f>
        <v>670</v>
      </c>
      <c r="D12" s="124">
        <f>SUM(D5:D11)</f>
        <v>2350</v>
      </c>
      <c r="E12" s="124">
        <f>SUM(E5:E11)</f>
        <v>2700</v>
      </c>
      <c r="F12" s="659"/>
      <c r="G12" s="660" t="s">
        <v>444</v>
      </c>
      <c r="H12" s="454"/>
      <c r="I12" s="454"/>
      <c r="J12" s="455"/>
    </row>
    <row r="13" spans="1:11" s="29" customFormat="1" ht="20.100000000000001" customHeight="1" thickBot="1">
      <c r="A13" s="345" t="s">
        <v>298</v>
      </c>
      <c r="B13" s="346"/>
      <c r="C13" s="347"/>
      <c r="D13" s="347"/>
      <c r="E13" s="347"/>
      <c r="F13" s="659"/>
      <c r="G13" s="661" t="s">
        <v>344</v>
      </c>
      <c r="H13" s="456"/>
      <c r="I13" s="456"/>
      <c r="J13" s="457"/>
    </row>
    <row r="14" spans="1:11" s="29" customFormat="1" ht="20.100000000000001" customHeight="1" thickBot="1">
      <c r="A14" s="611" t="s">
        <v>437</v>
      </c>
      <c r="B14" s="600"/>
      <c r="C14" s="127">
        <f>('1.1 Détails Investissements'!H43+'1.1 Détails Investissements'!H29)*J14*12</f>
        <v>0</v>
      </c>
      <c r="D14" s="122">
        <f>12*330</f>
        <v>3960</v>
      </c>
      <c r="E14" s="123">
        <f>12*330</f>
        <v>3960</v>
      </c>
      <c r="F14" s="659"/>
      <c r="G14" s="661" t="s">
        <v>484</v>
      </c>
      <c r="H14" s="456"/>
      <c r="I14" s="456"/>
      <c r="J14" s="520">
        <v>2.128E-2</v>
      </c>
      <c r="K14" s="29" t="s">
        <v>485</v>
      </c>
    </row>
    <row r="15" spans="1:11" s="29" customFormat="1" ht="20.100000000000001" customHeight="1">
      <c r="A15" s="611" t="s">
        <v>492</v>
      </c>
      <c r="B15" s="600"/>
      <c r="C15" s="606"/>
      <c r="D15" s="606"/>
      <c r="E15" s="607"/>
      <c r="F15" s="659"/>
      <c r="G15" s="661" t="s">
        <v>345</v>
      </c>
      <c r="H15" s="456"/>
      <c r="I15" s="456"/>
      <c r="J15" s="457"/>
      <c r="K15" s="29" t="s">
        <v>486</v>
      </c>
    </row>
    <row r="16" spans="1:11" s="29" customFormat="1" ht="20.100000000000001" customHeight="1">
      <c r="A16" s="611" t="s">
        <v>171</v>
      </c>
      <c r="B16" s="600"/>
      <c r="C16" s="606">
        <f>250*12</f>
        <v>3000</v>
      </c>
      <c r="D16" s="606">
        <f>250*12</f>
        <v>3000</v>
      </c>
      <c r="E16" s="607">
        <f>250*12</f>
        <v>3000</v>
      </c>
      <c r="F16" s="662"/>
      <c r="G16" s="663" t="s">
        <v>350</v>
      </c>
      <c r="H16" s="458"/>
      <c r="I16" s="458"/>
      <c r="J16" s="459"/>
    </row>
    <row r="17" spans="1:10" s="29" customFormat="1" ht="20.100000000000001" customHeight="1">
      <c r="A17" s="611" t="s">
        <v>438</v>
      </c>
      <c r="B17" s="600"/>
      <c r="C17" s="606"/>
      <c r="D17" s="606">
        <v>500</v>
      </c>
      <c r="E17" s="607">
        <v>500</v>
      </c>
      <c r="F17" s="698" t="s">
        <v>529</v>
      </c>
      <c r="G17" s="658"/>
      <c r="H17" s="423"/>
      <c r="I17" s="501"/>
      <c r="J17"/>
    </row>
    <row r="18" spans="1:10" s="29" customFormat="1" ht="20.100000000000001" customHeight="1">
      <c r="A18" s="611" t="s">
        <v>439</v>
      </c>
      <c r="B18" s="600"/>
      <c r="C18" s="606"/>
      <c r="D18" s="606"/>
      <c r="E18" s="607"/>
      <c r="F18" s="662"/>
      <c r="G18" s="658"/>
      <c r="H18" s="423"/>
      <c r="I18" s="501"/>
      <c r="J18"/>
    </row>
    <row r="19" spans="1:10" s="29" customFormat="1" ht="20.100000000000001" customHeight="1">
      <c r="A19" s="611" t="s">
        <v>441</v>
      </c>
      <c r="B19" s="600"/>
      <c r="C19" s="606"/>
      <c r="D19" s="606"/>
      <c r="E19" s="607"/>
      <c r="F19" s="662"/>
      <c r="G19" s="658"/>
      <c r="H19" s="423"/>
      <c r="I19" s="501"/>
      <c r="J19"/>
    </row>
    <row r="20" spans="1:10" s="29" customFormat="1" ht="20.100000000000001" customHeight="1">
      <c r="A20" s="611" t="s">
        <v>72</v>
      </c>
      <c r="B20" s="600"/>
      <c r="C20" s="606">
        <v>500</v>
      </c>
      <c r="D20" s="606">
        <v>500</v>
      </c>
      <c r="E20" s="607">
        <v>500</v>
      </c>
      <c r="F20" s="659"/>
      <c r="G20" s="659" t="s">
        <v>532</v>
      </c>
      <c r="H20" s="158">
        <v>450</v>
      </c>
      <c r="I20" s="158"/>
      <c r="J20" s="158"/>
    </row>
    <row r="21" spans="1:10" s="29" customFormat="1" ht="20.100000000000001" customHeight="1">
      <c r="A21" s="611" t="s">
        <v>73</v>
      </c>
      <c r="B21" s="600"/>
      <c r="C21" s="606">
        <v>100</v>
      </c>
      <c r="D21" s="606">
        <v>130</v>
      </c>
      <c r="E21" s="607">
        <v>160</v>
      </c>
      <c r="F21" s="659"/>
      <c r="G21" s="659" t="s">
        <v>533</v>
      </c>
      <c r="H21" s="158">
        <f>659/1.196</f>
        <v>551.00334448160538</v>
      </c>
      <c r="I21" s="158"/>
      <c r="J21" s="158"/>
    </row>
    <row r="22" spans="1:10" s="29" customFormat="1" ht="20.100000000000001" customHeight="1">
      <c r="A22" s="612" t="s">
        <v>440</v>
      </c>
      <c r="B22" s="600"/>
      <c r="C22" s="606"/>
      <c r="D22" s="606"/>
      <c r="E22" s="607"/>
      <c r="F22" s="659"/>
      <c r="G22" s="659"/>
      <c r="H22" s="158"/>
      <c r="I22" s="158"/>
      <c r="J22" s="158"/>
    </row>
    <row r="23" spans="1:10" s="29" customFormat="1" ht="20.100000000000001" customHeight="1">
      <c r="A23" s="608" t="s">
        <v>70</v>
      </c>
      <c r="B23" s="609"/>
      <c r="C23" s="606"/>
      <c r="D23" s="606"/>
      <c r="E23" s="607"/>
      <c r="F23" s="659"/>
      <c r="G23" s="659"/>
      <c r="H23" s="158"/>
      <c r="I23" s="158"/>
      <c r="J23" s="158"/>
    </row>
    <row r="24" spans="1:10" s="29" customFormat="1" ht="20.100000000000001" customHeight="1">
      <c r="A24" s="343" t="s">
        <v>19</v>
      </c>
      <c r="B24" s="344"/>
      <c r="C24" s="124">
        <f>SUM(C14:C23)</f>
        <v>3600</v>
      </c>
      <c r="D24" s="124">
        <f>SUM(D16:D23)</f>
        <v>4130</v>
      </c>
      <c r="E24" s="124">
        <f>SUM(E16:E23)</f>
        <v>4160</v>
      </c>
      <c r="F24" s="659"/>
      <c r="G24" s="659"/>
      <c r="H24" s="158"/>
      <c r="I24" s="158"/>
      <c r="J24" s="158"/>
    </row>
    <row r="25" spans="1:10" s="29" customFormat="1" ht="20.100000000000001" customHeight="1">
      <c r="A25" s="345" t="s">
        <v>299</v>
      </c>
      <c r="B25" s="346"/>
      <c r="C25" s="347"/>
      <c r="D25" s="347"/>
      <c r="E25" s="347"/>
      <c r="F25" s="659"/>
      <c r="G25" s="659"/>
      <c r="H25" s="158"/>
      <c r="I25" s="158"/>
      <c r="J25" s="158"/>
    </row>
    <row r="26" spans="1:10" s="29" customFormat="1" ht="20.100000000000001" customHeight="1">
      <c r="A26" s="611" t="s">
        <v>442</v>
      </c>
      <c r="B26" s="600"/>
      <c r="C26" s="606"/>
      <c r="D26" s="606"/>
      <c r="E26" s="607"/>
      <c r="F26" s="659"/>
      <c r="G26" s="659"/>
      <c r="H26" s="158"/>
      <c r="I26" s="158"/>
      <c r="J26" s="158"/>
    </row>
    <row r="27" spans="1:10" s="29" customFormat="1" ht="20.100000000000001" customHeight="1">
      <c r="A27" s="611" t="s">
        <v>192</v>
      </c>
      <c r="B27" s="600"/>
      <c r="C27" s="606">
        <v>1600</v>
      </c>
      <c r="D27" s="606">
        <v>1800</v>
      </c>
      <c r="E27" s="607">
        <v>1800</v>
      </c>
      <c r="F27" s="659"/>
      <c r="G27" s="659"/>
      <c r="H27" s="158"/>
      <c r="I27" s="158"/>
      <c r="J27" s="158"/>
    </row>
    <row r="28" spans="1:10" s="29" customFormat="1" ht="20.100000000000001" customHeight="1">
      <c r="A28" s="611" t="s">
        <v>544</v>
      </c>
      <c r="B28" s="600"/>
      <c r="C28" s="606">
        <v>900</v>
      </c>
      <c r="D28" s="606">
        <v>1000</v>
      </c>
      <c r="E28" s="607">
        <v>1100</v>
      </c>
      <c r="F28" s="659"/>
      <c r="G28" s="659"/>
      <c r="H28" s="158"/>
      <c r="I28" s="158"/>
      <c r="J28" s="158"/>
    </row>
    <row r="29" spans="1:10" s="29" customFormat="1" ht="20.100000000000001" customHeight="1">
      <c r="A29" s="611" t="s">
        <v>443</v>
      </c>
      <c r="B29" s="600"/>
      <c r="C29" s="606">
        <v>500</v>
      </c>
      <c r="D29" s="606">
        <v>300</v>
      </c>
      <c r="E29" s="607">
        <v>300</v>
      </c>
      <c r="F29" s="659"/>
      <c r="G29" s="659"/>
      <c r="H29" s="158"/>
      <c r="I29" s="158"/>
      <c r="J29" s="158"/>
    </row>
    <row r="30" spans="1:10" s="29" customFormat="1" ht="20.100000000000001" customHeight="1">
      <c r="A30" s="611" t="s">
        <v>74</v>
      </c>
      <c r="B30" s="600"/>
      <c r="C30" s="606">
        <f>0.3*20000</f>
        <v>6000</v>
      </c>
      <c r="D30" s="606">
        <v>1500</v>
      </c>
      <c r="E30" s="607">
        <v>1600</v>
      </c>
      <c r="F30" s="659">
        <v>0.32700000000000001</v>
      </c>
      <c r="G30" s="659" t="s">
        <v>530</v>
      </c>
      <c r="H30" s="158"/>
      <c r="I30" s="158"/>
      <c r="J30" s="158"/>
    </row>
    <row r="31" spans="1:10" s="29" customFormat="1" ht="20.100000000000001" customHeight="1">
      <c r="A31" s="611" t="s">
        <v>75</v>
      </c>
      <c r="B31" s="600"/>
      <c r="C31" s="606">
        <v>2000</v>
      </c>
      <c r="D31" s="606">
        <v>500</v>
      </c>
      <c r="E31" s="607">
        <v>500</v>
      </c>
      <c r="F31" s="659"/>
      <c r="G31" s="659"/>
      <c r="H31" s="158"/>
      <c r="I31" s="158"/>
      <c r="J31" s="158"/>
    </row>
    <row r="32" spans="1:10" s="29" customFormat="1" ht="20.100000000000001" customHeight="1">
      <c r="A32" s="611" t="s">
        <v>76</v>
      </c>
      <c r="B32" s="600"/>
      <c r="C32" s="606">
        <v>30</v>
      </c>
      <c r="D32" s="606">
        <v>40</v>
      </c>
      <c r="E32" s="607">
        <v>50</v>
      </c>
      <c r="F32" s="659"/>
      <c r="G32" s="659"/>
      <c r="H32" s="158"/>
      <c r="I32" s="158"/>
      <c r="J32" s="158"/>
    </row>
    <row r="33" spans="1:10" s="29" customFormat="1" ht="20.100000000000001" customHeight="1">
      <c r="A33" s="611" t="s">
        <v>77</v>
      </c>
      <c r="B33" s="600"/>
      <c r="C33" s="606">
        <f>50*12</f>
        <v>600</v>
      </c>
      <c r="D33" s="606">
        <v>600</v>
      </c>
      <c r="E33" s="607">
        <v>600</v>
      </c>
      <c r="F33" s="659"/>
      <c r="G33" s="659" t="s">
        <v>558</v>
      </c>
      <c r="H33" s="158"/>
      <c r="I33" s="158"/>
      <c r="J33" s="158"/>
    </row>
    <row r="34" spans="1:10" s="29" customFormat="1" ht="20.100000000000001" customHeight="1">
      <c r="A34" s="611" t="s">
        <v>78</v>
      </c>
      <c r="B34" s="600"/>
      <c r="C34" s="606"/>
      <c r="D34" s="606"/>
      <c r="E34" s="607"/>
      <c r="F34" s="659"/>
      <c r="G34" s="659"/>
      <c r="H34" s="158"/>
      <c r="I34" s="158"/>
      <c r="J34" s="158"/>
    </row>
    <row r="35" spans="1:10" s="29" customFormat="1" ht="20.100000000000001" customHeight="1">
      <c r="A35" s="611" t="s">
        <v>79</v>
      </c>
      <c r="B35" s="600"/>
      <c r="C35" s="606">
        <v>240</v>
      </c>
      <c r="D35" s="606">
        <v>250</v>
      </c>
      <c r="E35" s="607">
        <v>260</v>
      </c>
      <c r="F35" s="659"/>
      <c r="G35" s="659"/>
      <c r="H35" s="158"/>
      <c r="I35" s="158"/>
      <c r="J35" s="158"/>
    </row>
    <row r="36" spans="1:10" s="29" customFormat="1" ht="20.100000000000001" customHeight="1">
      <c r="A36" s="611" t="s">
        <v>172</v>
      </c>
      <c r="B36" s="600"/>
      <c r="C36" s="606"/>
      <c r="D36" s="606"/>
      <c r="E36" s="607"/>
      <c r="F36" s="659"/>
      <c r="G36" s="659"/>
      <c r="H36" s="158"/>
      <c r="I36" s="158"/>
      <c r="J36" s="158"/>
    </row>
    <row r="37" spans="1:10" s="29" customFormat="1" ht="20.100000000000001" customHeight="1">
      <c r="A37" s="611" t="s">
        <v>80</v>
      </c>
      <c r="B37" s="600"/>
      <c r="C37" s="606"/>
      <c r="D37" s="606"/>
      <c r="E37" s="607"/>
      <c r="F37" s="659"/>
      <c r="G37" s="659"/>
      <c r="H37" s="158"/>
      <c r="I37" s="158"/>
      <c r="J37" s="158"/>
    </row>
    <row r="38" spans="1:10" s="29" customFormat="1" ht="20.100000000000001" customHeight="1">
      <c r="A38" s="608" t="s">
        <v>71</v>
      </c>
      <c r="B38" s="600"/>
      <c r="C38" s="606"/>
      <c r="D38" s="606"/>
      <c r="E38" s="607"/>
      <c r="F38" s="659"/>
      <c r="G38" s="659"/>
      <c r="H38" s="158"/>
      <c r="I38" s="158"/>
      <c r="J38" s="158"/>
    </row>
    <row r="39" spans="1:10" s="29" customFormat="1" ht="20.100000000000001" customHeight="1">
      <c r="A39" s="343" t="s">
        <v>19</v>
      </c>
      <c r="B39" s="344"/>
      <c r="C39" s="124">
        <f>SUM(C27:C38)</f>
        <v>11870</v>
      </c>
      <c r="D39" s="124">
        <f>SUM(D27:D38)</f>
        <v>5990</v>
      </c>
      <c r="E39" s="124">
        <f>SUM(E27:E38)</f>
        <v>6210</v>
      </c>
      <c r="F39" s="659"/>
      <c r="G39" s="659"/>
      <c r="H39" s="158"/>
      <c r="I39" s="158"/>
      <c r="J39" s="158"/>
    </row>
    <row r="40" spans="1:10" s="29" customFormat="1" ht="20.100000000000001" customHeight="1">
      <c r="A40" s="518"/>
      <c r="B40" s="519"/>
      <c r="C40" s="523"/>
      <c r="D40" s="523"/>
      <c r="E40" s="524"/>
      <c r="F40" s="659"/>
      <c r="G40" s="659"/>
      <c r="H40" s="158"/>
      <c r="I40" s="158"/>
      <c r="J40" s="158"/>
    </row>
    <row r="41" spans="1:10" s="29" customFormat="1" ht="20.100000000000001" customHeight="1">
      <c r="A41" s="773" t="s">
        <v>466</v>
      </c>
      <c r="B41" s="774"/>
      <c r="C41" s="774"/>
      <c r="D41" s="774"/>
      <c r="E41" s="775"/>
      <c r="F41" s="659"/>
      <c r="G41" s="659"/>
      <c r="H41" s="158"/>
      <c r="I41" s="158"/>
      <c r="J41" s="158"/>
    </row>
    <row r="42" spans="1:10" s="29" customFormat="1" ht="20.100000000000001" customHeight="1">
      <c r="A42" s="125"/>
      <c r="B42" s="125"/>
      <c r="C42" s="126"/>
      <c r="D42" s="126"/>
      <c r="E42" s="126"/>
      <c r="F42" s="659"/>
      <c r="G42" s="659"/>
      <c r="H42" s="158"/>
      <c r="I42" s="158"/>
      <c r="J42" s="158"/>
    </row>
    <row r="43" spans="1:10" s="30" customFormat="1" ht="20.100000000000001" customHeight="1">
      <c r="A43" s="121"/>
      <c r="B43" s="134"/>
      <c r="C43" s="257" t="s">
        <v>49</v>
      </c>
      <c r="D43" s="257" t="s">
        <v>65</v>
      </c>
      <c r="E43" s="258" t="s">
        <v>51</v>
      </c>
      <c r="F43" s="664"/>
      <c r="G43" s="664"/>
      <c r="H43" s="159"/>
      <c r="I43" s="159"/>
      <c r="J43" s="159"/>
    </row>
    <row r="44" spans="1:10" s="29" customFormat="1" ht="20.100000000000001" customHeight="1">
      <c r="A44" s="345" t="s">
        <v>300</v>
      </c>
      <c r="B44" s="346"/>
      <c r="C44" s="347"/>
      <c r="D44" s="347"/>
      <c r="E44" s="347"/>
      <c r="F44" s="659"/>
      <c r="G44" s="659"/>
      <c r="H44" s="158"/>
      <c r="I44" s="158"/>
      <c r="J44" s="158"/>
    </row>
    <row r="45" spans="1:10" s="29" customFormat="1" ht="20.100000000000001" customHeight="1">
      <c r="A45" s="84" t="s">
        <v>478</v>
      </c>
      <c r="B45" s="600"/>
      <c r="C45" s="610">
        <v>350</v>
      </c>
      <c r="D45" s="606">
        <v>350</v>
      </c>
      <c r="E45" s="607">
        <v>350</v>
      </c>
      <c r="F45" s="659"/>
      <c r="G45" s="658"/>
      <c r="H45" s="500"/>
      <c r="I45" s="158"/>
      <c r="J45" s="158"/>
    </row>
    <row r="46" spans="1:10" s="29" customFormat="1" ht="20.100000000000001" customHeight="1">
      <c r="A46" s="84" t="s">
        <v>81</v>
      </c>
      <c r="B46" s="600"/>
      <c r="C46" s="606"/>
      <c r="D46" s="606"/>
      <c r="E46" s="607"/>
      <c r="F46" s="659"/>
      <c r="G46" s="659"/>
      <c r="H46" s="158"/>
      <c r="I46" s="158"/>
      <c r="J46" s="158"/>
    </row>
    <row r="47" spans="1:10" s="29" customFormat="1" ht="20.100000000000001" customHeight="1">
      <c r="A47" s="84" t="s">
        <v>174</v>
      </c>
      <c r="B47" s="99">
        <v>5.0000000000000001E-3</v>
      </c>
      <c r="C47" s="127">
        <f>(C53+C54)*B47</f>
        <v>60</v>
      </c>
      <c r="D47" s="127">
        <f>(D53+D54)*B47</f>
        <v>150</v>
      </c>
      <c r="E47" s="127">
        <f>(E53+E54)*B47</f>
        <v>168</v>
      </c>
      <c r="F47" s="659"/>
      <c r="G47" s="659"/>
      <c r="H47" s="158"/>
      <c r="I47" s="158"/>
      <c r="J47" s="158"/>
    </row>
    <row r="48" spans="1:10" s="29" customFormat="1" ht="20.100000000000001" customHeight="1">
      <c r="A48" s="84" t="s">
        <v>191</v>
      </c>
      <c r="B48" s="99">
        <v>5.0000000000000001E-3</v>
      </c>
      <c r="C48" s="127">
        <f>(C53+C54)*B48</f>
        <v>60</v>
      </c>
      <c r="D48" s="127">
        <f>(D53+D54)*B48</f>
        <v>150</v>
      </c>
      <c r="E48" s="127">
        <f>(E53+E54)*B48</f>
        <v>168</v>
      </c>
      <c r="F48" s="659"/>
      <c r="G48" s="659"/>
      <c r="H48" s="158"/>
      <c r="I48" s="158"/>
      <c r="J48" s="158"/>
    </row>
    <row r="49" spans="1:10" s="29" customFormat="1" ht="20.100000000000001" customHeight="1">
      <c r="A49" s="608" t="s">
        <v>70</v>
      </c>
      <c r="B49" s="240" t="s">
        <v>0</v>
      </c>
      <c r="C49" s="241" t="s">
        <v>0</v>
      </c>
      <c r="D49" s="235"/>
      <c r="E49" s="236"/>
      <c r="F49" s="659"/>
      <c r="G49" s="659"/>
      <c r="H49" s="158"/>
      <c r="I49" s="158"/>
      <c r="J49" s="158"/>
    </row>
    <row r="50" spans="1:10" s="29" customFormat="1" ht="20.100000000000001" customHeight="1">
      <c r="A50" s="343" t="s">
        <v>19</v>
      </c>
      <c r="B50" s="344"/>
      <c r="C50" s="124">
        <f>SUM(C45:C49)</f>
        <v>470</v>
      </c>
      <c r="D50" s="124">
        <f>SUM(D45:D49)</f>
        <v>650</v>
      </c>
      <c r="E50" s="124">
        <f>SUM(E45:E49)</f>
        <v>686</v>
      </c>
      <c r="F50" s="659"/>
      <c r="G50" s="659"/>
      <c r="H50" s="158"/>
      <c r="I50" s="158"/>
      <c r="J50" s="158"/>
    </row>
    <row r="51" spans="1:10" s="29" customFormat="1" ht="20.100000000000001" customHeight="1">
      <c r="A51" s="345" t="s">
        <v>301</v>
      </c>
      <c r="B51" s="346"/>
      <c r="C51" s="347"/>
      <c r="D51" s="347"/>
      <c r="E51" s="347"/>
      <c r="F51" s="659"/>
      <c r="G51" s="659"/>
      <c r="H51" s="158"/>
      <c r="I51" s="158"/>
      <c r="J51" s="158"/>
    </row>
    <row r="52" spans="1:10" s="29" customFormat="1" ht="20.100000000000001" customHeight="1">
      <c r="A52" s="84" t="s">
        <v>234</v>
      </c>
      <c r="B52" s="600"/>
      <c r="C52" s="606"/>
      <c r="D52" s="606">
        <v>18000</v>
      </c>
      <c r="E52" s="607">
        <v>19200</v>
      </c>
      <c r="F52" s="657"/>
      <c r="G52" s="665" t="s">
        <v>315</v>
      </c>
      <c r="H52" s="371"/>
      <c r="I52" s="371"/>
      <c r="J52" s="158"/>
    </row>
    <row r="53" spans="1:10" s="29" customFormat="1" ht="20.100000000000001" customHeight="1">
      <c r="A53" s="84" t="s">
        <v>235</v>
      </c>
      <c r="B53" s="600"/>
      <c r="C53" s="606"/>
      <c r="D53" s="606"/>
      <c r="E53" s="606"/>
      <c r="F53" s="657"/>
      <c r="G53" s="666" t="s">
        <v>318</v>
      </c>
      <c r="H53" s="158"/>
      <c r="I53" s="158"/>
      <c r="J53" s="158"/>
    </row>
    <row r="54" spans="1:10" s="29" customFormat="1" ht="20.100000000000001" customHeight="1">
      <c r="A54" s="233" t="s">
        <v>236</v>
      </c>
      <c r="B54" s="234"/>
      <c r="C54" s="380">
        <f>'3,10 sal'!E16</f>
        <v>12000</v>
      </c>
      <c r="D54" s="380">
        <f>'3,10 sal'!E30</f>
        <v>30000</v>
      </c>
      <c r="E54" s="388">
        <f>'3,10 sal'!E44</f>
        <v>33600</v>
      </c>
      <c r="F54" s="659"/>
      <c r="G54" s="667" t="s">
        <v>319</v>
      </c>
      <c r="H54" s="159"/>
      <c r="I54" s="159"/>
      <c r="J54" s="158"/>
    </row>
    <row r="55" spans="1:10" s="29" customFormat="1" ht="20.100000000000001" customHeight="1" thickBot="1">
      <c r="A55" s="343" t="s">
        <v>19</v>
      </c>
      <c r="B55" s="344"/>
      <c r="C55" s="124">
        <f>SUM(C52:C54)</f>
        <v>12000</v>
      </c>
      <c r="D55" s="124">
        <f>SUM(D52:D54)</f>
        <v>48000</v>
      </c>
      <c r="E55" s="124">
        <f>SUM(E52:E54)</f>
        <v>52800</v>
      </c>
      <c r="F55" s="659"/>
      <c r="G55" s="664" t="s">
        <v>49</v>
      </c>
      <c r="H55" s="159" t="s">
        <v>316</v>
      </c>
      <c r="I55" s="159" t="s">
        <v>317</v>
      </c>
      <c r="J55" s="158"/>
    </row>
    <row r="56" spans="1:10" s="29" customFormat="1" ht="20.100000000000001" customHeight="1" thickBot="1">
      <c r="A56" s="345" t="s">
        <v>302</v>
      </c>
      <c r="B56" s="346"/>
      <c r="C56" s="347"/>
      <c r="D56" s="347"/>
      <c r="E56" s="347"/>
      <c r="F56" s="659"/>
      <c r="G56" s="668">
        <v>0</v>
      </c>
      <c r="H56" s="372">
        <f>1500*9</f>
        <v>13500</v>
      </c>
      <c r="I56" s="372">
        <f>1600*12</f>
        <v>19200</v>
      </c>
      <c r="J56" s="158"/>
    </row>
    <row r="57" spans="1:10" s="29" customFormat="1" ht="20.100000000000001" customHeight="1" thickBot="1">
      <c r="A57" s="84" t="s">
        <v>82</v>
      </c>
      <c r="B57" s="128">
        <v>0.5</v>
      </c>
      <c r="C57" s="127">
        <f>(C53+C54)*$B$57</f>
        <v>6000</v>
      </c>
      <c r="D57" s="127">
        <f>(D53+D54)*$B$57</f>
        <v>15000</v>
      </c>
      <c r="E57" s="127">
        <f>(E53+E54)*$B$57</f>
        <v>16800</v>
      </c>
      <c r="F57" s="659"/>
      <c r="G57" s="666" t="s">
        <v>320</v>
      </c>
      <c r="H57" s="158"/>
      <c r="I57" s="158"/>
      <c r="J57" s="158"/>
    </row>
    <row r="58" spans="1:10" s="29" customFormat="1" ht="20.100000000000001" customHeight="1" thickBot="1">
      <c r="A58" s="84" t="s">
        <v>83</v>
      </c>
      <c r="B58" s="600"/>
      <c r="C58" s="606">
        <v>1800</v>
      </c>
      <c r="D58" s="610">
        <f>D52*0.45</f>
        <v>8100</v>
      </c>
      <c r="E58" s="610">
        <f>E52*0.45</f>
        <v>8640</v>
      </c>
      <c r="F58" s="659"/>
      <c r="G58" s="669">
        <f>G56*0.45</f>
        <v>0</v>
      </c>
      <c r="H58" s="669">
        <f>H56*0.45</f>
        <v>6075</v>
      </c>
      <c r="I58" s="669">
        <f>I56*0.45</f>
        <v>8640</v>
      </c>
      <c r="J58" s="158"/>
    </row>
    <row r="59" spans="1:10" s="29" customFormat="1" ht="20.100000000000001" customHeight="1">
      <c r="A59" s="555" t="s">
        <v>346</v>
      </c>
      <c r="B59" s="600"/>
      <c r="C59" s="606">
        <f>60*12</f>
        <v>720</v>
      </c>
      <c r="D59" s="606">
        <f>60*12</f>
        <v>720</v>
      </c>
      <c r="E59" s="606">
        <f>60*12</f>
        <v>720</v>
      </c>
      <c r="F59" s="659"/>
      <c r="G59" s="622"/>
      <c r="H59"/>
      <c r="I59"/>
      <c r="J59" s="158"/>
    </row>
    <row r="60" spans="1:10" s="29" customFormat="1" ht="20.100000000000001" customHeight="1">
      <c r="A60" s="131" t="s">
        <v>347</v>
      </c>
      <c r="B60" s="613"/>
      <c r="C60" s="614"/>
      <c r="D60" s="606"/>
      <c r="E60" s="606"/>
      <c r="F60" s="659"/>
      <c r="G60" s="670" t="s">
        <v>405</v>
      </c>
      <c r="H60" s="515"/>
      <c r="I60"/>
      <c r="J60" s="158"/>
    </row>
    <row r="61" spans="1:10" s="29" customFormat="1" ht="20.100000000000001" customHeight="1">
      <c r="A61" s="343" t="s">
        <v>19</v>
      </c>
      <c r="B61" s="344"/>
      <c r="C61" s="124">
        <f>SUM(C57:C60)</f>
        <v>8520</v>
      </c>
      <c r="D61" s="124">
        <f>SUM(D57:D60)</f>
        <v>23820</v>
      </c>
      <c r="E61" s="124">
        <f>SUM(E57:E60)</f>
        <v>26160</v>
      </c>
      <c r="F61" s="659"/>
      <c r="G61" s="622"/>
      <c r="H61"/>
      <c r="I61"/>
      <c r="J61" s="158"/>
    </row>
    <row r="62" spans="1:10" s="29" customFormat="1" ht="20.100000000000001" customHeight="1">
      <c r="A62" s="345" t="s">
        <v>303</v>
      </c>
      <c r="B62" s="346"/>
      <c r="C62" s="347"/>
      <c r="D62" s="347"/>
      <c r="E62" s="347"/>
      <c r="F62" s="659"/>
      <c r="G62" s="622"/>
      <c r="H62"/>
      <c r="I62"/>
      <c r="J62" s="158"/>
    </row>
    <row r="63" spans="1:10" s="29" customFormat="1" ht="20.100000000000001" customHeight="1">
      <c r="A63" s="82" t="s">
        <v>185</v>
      </c>
      <c r="B63" s="129"/>
      <c r="C63" s="130">
        <f>'3,12 amort'!D21</f>
        <v>1896.6666666666667</v>
      </c>
      <c r="D63" s="130">
        <f>'3,12 amort'!E21</f>
        <v>2416</v>
      </c>
      <c r="E63" s="389">
        <f>'3,12 amort'!F21</f>
        <v>2416</v>
      </c>
      <c r="F63" s="659"/>
      <c r="G63" s="659"/>
      <c r="H63" s="158"/>
      <c r="I63" s="158"/>
      <c r="J63" s="158"/>
    </row>
    <row r="64" spans="1:10" s="29" customFormat="1" ht="20.100000000000001" customHeight="1">
      <c r="A64" s="615" t="s">
        <v>407</v>
      </c>
      <c r="B64" s="613"/>
      <c r="C64" s="614" t="s">
        <v>0</v>
      </c>
      <c r="D64" s="614"/>
      <c r="E64" s="616"/>
      <c r="F64" s="659"/>
      <c r="G64" s="659"/>
      <c r="H64" s="158"/>
      <c r="I64" s="158"/>
      <c r="J64" s="158"/>
    </row>
    <row r="65" spans="1:10" s="29" customFormat="1" ht="20.100000000000001" customHeight="1">
      <c r="A65" s="343" t="s">
        <v>19</v>
      </c>
      <c r="B65" s="344"/>
      <c r="C65" s="124">
        <f>SUM(C63:C64)</f>
        <v>1896.6666666666667</v>
      </c>
      <c r="D65" s="124">
        <f>SUM(D63:D64)</f>
        <v>2416</v>
      </c>
      <c r="E65" s="124">
        <f>SUM(E63:E64)</f>
        <v>2416</v>
      </c>
      <c r="F65" s="659"/>
      <c r="G65" s="659"/>
      <c r="H65" s="158"/>
      <c r="I65" s="158"/>
      <c r="J65" s="158"/>
    </row>
    <row r="66" spans="1:10" ht="20.100000000000001" customHeight="1">
      <c r="A66" s="345" t="s">
        <v>304</v>
      </c>
      <c r="B66" s="346"/>
      <c r="C66" s="347"/>
      <c r="D66" s="347"/>
      <c r="E66" s="347"/>
      <c r="F66" s="657"/>
      <c r="G66" s="657"/>
    </row>
    <row r="67" spans="1:10" ht="20.100000000000001" customHeight="1">
      <c r="A67" s="555" t="s">
        <v>84</v>
      </c>
      <c r="B67" s="600"/>
      <c r="C67" s="606"/>
      <c r="D67" s="606"/>
      <c r="E67" s="607"/>
      <c r="F67" s="657"/>
      <c r="G67" s="657"/>
    </row>
    <row r="68" spans="1:10" ht="20.100000000000001" customHeight="1">
      <c r="A68" s="555" t="s">
        <v>85</v>
      </c>
      <c r="B68" s="600"/>
      <c r="C68" s="606"/>
      <c r="D68" s="606"/>
      <c r="E68" s="606"/>
      <c r="F68" s="657"/>
      <c r="G68" s="657"/>
    </row>
    <row r="69" spans="1:10" ht="20.100000000000001" customHeight="1">
      <c r="A69" s="608" t="s">
        <v>71</v>
      </c>
      <c r="B69" s="609"/>
      <c r="C69" s="617"/>
      <c r="D69" s="617"/>
      <c r="E69" s="618"/>
      <c r="F69" s="657"/>
      <c r="G69" s="657"/>
    </row>
    <row r="70" spans="1:10" ht="20.100000000000001" customHeight="1">
      <c r="A70" s="343" t="s">
        <v>19</v>
      </c>
      <c r="B70" s="344"/>
      <c r="C70" s="124">
        <f>SUM(C67:C69)</f>
        <v>0</v>
      </c>
      <c r="D70" s="124">
        <f>SUM(D67:D69)</f>
        <v>0</v>
      </c>
      <c r="E70" s="124">
        <f>SUM(E67:E69)</f>
        <v>0</v>
      </c>
      <c r="F70" s="657"/>
      <c r="G70" s="657"/>
    </row>
    <row r="71" spans="1:10" ht="20.100000000000001" customHeight="1">
      <c r="A71" s="345" t="s">
        <v>305</v>
      </c>
      <c r="B71" s="346"/>
      <c r="C71" s="347"/>
      <c r="D71" s="347"/>
      <c r="E71" s="347"/>
      <c r="F71" s="657"/>
      <c r="G71" s="657"/>
      <c r="J71" s="149"/>
    </row>
    <row r="72" spans="1:10" ht="20.100000000000001" customHeight="1">
      <c r="A72" s="84" t="s">
        <v>173</v>
      </c>
      <c r="B72" s="93"/>
      <c r="C72" s="127">
        <f>'3,131 int emprunts'!D9+'3,131 int emprunts'!D23+'3,131 int emprunts'!K23</f>
        <v>322.75602739726025</v>
      </c>
      <c r="D72" s="127">
        <f>'3,131 int emprunts'!D10+'3,131 int emprunts'!D24+'3,131 int emprunts'!K24</f>
        <v>234.34469987260655</v>
      </c>
      <c r="E72" s="127">
        <f>'3,131 int emprunts'!D11+'3,131 int emprunts'!D25+'3,131 int emprunts'!K25</f>
        <v>141.16123673316099</v>
      </c>
      <c r="F72" s="657"/>
      <c r="G72" s="657"/>
      <c r="J72" s="149"/>
    </row>
    <row r="73" spans="1:10" ht="20.100000000000001" customHeight="1">
      <c r="A73" s="233" t="s">
        <v>333</v>
      </c>
      <c r="B73" s="234"/>
      <c r="C73" s="380">
        <f>'3,131 int emprunts'!K32</f>
        <v>0</v>
      </c>
      <c r="D73" s="380">
        <f>'3,131 int emprunts'!K32</f>
        <v>0</v>
      </c>
      <c r="E73" s="380">
        <f>'3,131 int emprunts'!K32</f>
        <v>0</v>
      </c>
      <c r="F73" s="657"/>
      <c r="G73" s="657"/>
    </row>
    <row r="74" spans="1:10" ht="20.100000000000001" customHeight="1">
      <c r="A74" s="343" t="s">
        <v>19</v>
      </c>
      <c r="B74" s="344"/>
      <c r="C74" s="124">
        <f>SUM(C72:C73)</f>
        <v>322.75602739726025</v>
      </c>
      <c r="D74" s="124">
        <f>SUM(D72:D73)</f>
        <v>234.34469987260655</v>
      </c>
      <c r="E74" s="124">
        <f>SUM(E72:E73)</f>
        <v>141.16123673316099</v>
      </c>
      <c r="F74" s="657"/>
      <c r="G74" s="657"/>
    </row>
    <row r="75" spans="1:10" ht="20.100000000000001" customHeight="1">
      <c r="A75" s="345" t="s">
        <v>306</v>
      </c>
      <c r="B75" s="346"/>
      <c r="C75" s="347"/>
      <c r="D75" s="347"/>
      <c r="E75" s="347"/>
      <c r="F75" s="657"/>
      <c r="G75" s="657"/>
    </row>
    <row r="76" spans="1:10" ht="20.100000000000001" customHeight="1">
      <c r="A76" s="132" t="s">
        <v>406</v>
      </c>
      <c r="B76" s="237"/>
      <c r="C76" s="238"/>
      <c r="D76" s="238"/>
      <c r="E76" s="238"/>
      <c r="F76" s="657"/>
      <c r="G76" s="657"/>
    </row>
    <row r="77" spans="1:10" ht="20.100000000000001" customHeight="1" thickBot="1">
      <c r="A77" s="351" t="s">
        <v>19</v>
      </c>
      <c r="B77" s="352"/>
      <c r="C77" s="242">
        <f>SUM(C76)</f>
        <v>0</v>
      </c>
      <c r="D77" s="124">
        <f>SUM(D76)</f>
        <v>0</v>
      </c>
      <c r="E77" s="124">
        <f>SUM(E76)</f>
        <v>0</v>
      </c>
      <c r="F77" s="657"/>
      <c r="G77" s="657"/>
    </row>
    <row r="78" spans="1:10" ht="20.100000000000001" customHeight="1" thickTop="1" thickBot="1">
      <c r="A78" s="259" t="s">
        <v>86</v>
      </c>
      <c r="B78" s="260"/>
      <c r="C78" s="261">
        <f>SUM(C4:C77)/2</f>
        <v>39349.422694063935</v>
      </c>
      <c r="D78" s="261">
        <f>SUM(D4:D77)/2</f>
        <v>89570.344699872599</v>
      </c>
      <c r="E78" s="261">
        <f>SUM(E4:E77)/2</f>
        <v>97253.161236733169</v>
      </c>
      <c r="F78" s="657"/>
      <c r="G78" s="657"/>
    </row>
    <row r="79" spans="1:10" ht="20.100000000000001" customHeight="1" thickTop="1">
      <c r="A79" s="31"/>
      <c r="B79" s="13"/>
      <c r="C79" s="41"/>
      <c r="D79" s="41"/>
      <c r="E79" s="41"/>
    </row>
    <row r="80" spans="1:10" ht="20.100000000000001" customHeight="1">
      <c r="A80" s="31"/>
      <c r="B80" s="13"/>
      <c r="C80" s="41"/>
      <c r="D80" s="41"/>
      <c r="E80" s="41"/>
    </row>
    <row r="81" spans="1:5" ht="21" customHeight="1">
      <c r="A81" s="31"/>
      <c r="B81" s="13"/>
      <c r="C81" s="41"/>
      <c r="D81" s="41"/>
      <c r="E81" s="41"/>
    </row>
    <row r="82" spans="1:5" ht="21" customHeight="1">
      <c r="A82" s="31"/>
      <c r="B82" s="13"/>
      <c r="C82" s="41"/>
      <c r="D82" s="41"/>
      <c r="E82" s="41"/>
    </row>
    <row r="83" spans="1:5" ht="21" customHeight="1">
      <c r="A83" s="31"/>
      <c r="B83" s="13"/>
      <c r="C83" s="41"/>
      <c r="D83" s="41"/>
      <c r="E83" s="41"/>
    </row>
    <row r="84" spans="1:5" ht="21" customHeight="1">
      <c r="A84" s="31"/>
      <c r="B84" s="13"/>
      <c r="C84" s="41"/>
      <c r="D84" s="41"/>
      <c r="E84" s="41"/>
    </row>
    <row r="85" spans="1:5" ht="21" customHeight="1">
      <c r="A85" s="31"/>
      <c r="B85" s="13"/>
      <c r="C85" s="41"/>
      <c r="D85" s="41"/>
      <c r="E85" s="41"/>
    </row>
    <row r="86" spans="1:5" ht="21" customHeight="1">
      <c r="A86" s="31"/>
      <c r="B86" s="13"/>
      <c r="C86" s="41"/>
      <c r="D86" s="41"/>
      <c r="E86" s="41"/>
    </row>
    <row r="87" spans="1:5" ht="21" customHeight="1">
      <c r="A87" s="31"/>
      <c r="B87" s="13"/>
      <c r="C87" s="41"/>
      <c r="D87" s="41"/>
      <c r="E87" s="41"/>
    </row>
    <row r="88" spans="1:5" ht="21" customHeight="1">
      <c r="A88" s="31"/>
      <c r="B88" s="13"/>
      <c r="C88" s="41"/>
      <c r="D88" s="41"/>
      <c r="E88" s="41"/>
    </row>
    <row r="89" spans="1:5" ht="21" customHeight="1">
      <c r="A89" s="31"/>
      <c r="B89" s="13"/>
    </row>
    <row r="90" spans="1:5" ht="21" customHeight="1">
      <c r="A90" s="31"/>
      <c r="B90" s="13"/>
    </row>
    <row r="91" spans="1:5" ht="21" customHeight="1">
      <c r="A91" s="31"/>
      <c r="B91" s="13"/>
    </row>
    <row r="92" spans="1:5" ht="21" customHeight="1"/>
    <row r="93" spans="1:5" ht="21" customHeight="1"/>
    <row r="94" spans="1:5" ht="21" customHeight="1"/>
    <row r="95" spans="1:5" ht="21" customHeight="1"/>
    <row r="96" spans="1:5" ht="21" customHeight="1"/>
    <row r="97" ht="21" customHeight="1"/>
  </sheetData>
  <sheetProtection formatCells="0" formatColumns="0"/>
  <mergeCells count="2">
    <mergeCell ref="A1:E1"/>
    <mergeCell ref="A41:E41"/>
  </mergeCells>
  <phoneticPr fontId="0" type="noConversion"/>
  <printOptions horizontalCentered="1"/>
  <pageMargins left="0.43307086614173229" right="0.55118110236220474" top="0.59055118110236227" bottom="0.6692913385826772" header="0.39370078740157483" footer="0.47244094488188981"/>
  <pageSetup paperSize="9" scale="95" orientation="portrait" horizontalDpi="4294967295"/>
  <headerFooter alignWithMargins="0">
    <oddHeader>&amp;R3.1</oddHeader>
    <oddFooter>&amp;Limprimé le &amp;D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2" enableFormatConditionsCalculation="0">
    <tabColor indexed="42"/>
  </sheetPr>
  <dimension ref="A1:E44"/>
  <sheetViews>
    <sheetView zoomScale="75" workbookViewId="0">
      <selection activeCell="A8" sqref="A8"/>
    </sheetView>
  </sheetViews>
  <sheetFormatPr baseColWidth="10" defaultRowHeight="12.75"/>
  <cols>
    <col min="1" max="1" width="38.85546875" customWidth="1"/>
    <col min="2" max="2" width="6.42578125" customWidth="1"/>
    <col min="3" max="3" width="14.42578125" customWidth="1"/>
    <col min="4" max="4" width="9.42578125" customWidth="1"/>
    <col min="5" max="5" width="15.42578125" customWidth="1"/>
  </cols>
  <sheetData>
    <row r="1" spans="1:5" ht="15.75" thickBot="1">
      <c r="A1" s="69"/>
      <c r="B1" s="69"/>
      <c r="C1" s="69"/>
      <c r="D1" s="69"/>
      <c r="E1" s="69"/>
    </row>
    <row r="2" spans="1:5" ht="23.25" thickBot="1">
      <c r="A2" s="336" t="s">
        <v>321</v>
      </c>
      <c r="B2" s="337"/>
      <c r="C2" s="301"/>
      <c r="D2" s="301"/>
      <c r="E2" s="302"/>
    </row>
    <row r="3" spans="1:5" ht="15">
      <c r="A3" s="69"/>
      <c r="B3" s="69"/>
      <c r="C3" s="69"/>
      <c r="D3" s="69"/>
      <c r="E3" s="69"/>
    </row>
    <row r="4" spans="1:5" ht="15">
      <c r="A4" s="69"/>
      <c r="B4" s="69"/>
      <c r="C4" s="69"/>
      <c r="D4" s="69"/>
      <c r="E4" s="69"/>
    </row>
    <row r="5" spans="1:5" ht="18">
      <c r="A5" s="376" t="s">
        <v>329</v>
      </c>
      <c r="B5" s="375"/>
      <c r="C5" s="333" t="s">
        <v>322</v>
      </c>
      <c r="D5" s="333" t="s">
        <v>324</v>
      </c>
      <c r="E5" s="333" t="s">
        <v>326</v>
      </c>
    </row>
    <row r="6" spans="1:5" ht="18">
      <c r="A6" s="387" t="s">
        <v>341</v>
      </c>
      <c r="B6" s="375"/>
      <c r="C6" s="379" t="s">
        <v>323</v>
      </c>
      <c r="D6" s="379" t="s">
        <v>325</v>
      </c>
      <c r="E6" s="379" t="s">
        <v>327</v>
      </c>
    </row>
    <row r="7" spans="1:5" ht="16.5">
      <c r="A7" s="331" t="s">
        <v>538</v>
      </c>
      <c r="B7" s="332"/>
      <c r="C7" s="282">
        <v>1000</v>
      </c>
      <c r="D7" s="282">
        <v>12</v>
      </c>
      <c r="E7" s="101">
        <f>C7*D7</f>
        <v>12000</v>
      </c>
    </row>
    <row r="8" spans="1:5" ht="16.5">
      <c r="A8" s="331"/>
      <c r="B8" s="332"/>
      <c r="C8" s="97"/>
      <c r="D8" s="97"/>
      <c r="E8" s="100">
        <f t="shared" ref="E8:E15" si="0">C8*D8</f>
        <v>0</v>
      </c>
    </row>
    <row r="9" spans="1:5" ht="16.5">
      <c r="A9" s="331"/>
      <c r="B9" s="332"/>
      <c r="C9" s="97"/>
      <c r="D9" s="97"/>
      <c r="E9" s="100">
        <f t="shared" si="0"/>
        <v>0</v>
      </c>
    </row>
    <row r="10" spans="1:5" ht="16.5">
      <c r="A10" s="331"/>
      <c r="B10" s="332"/>
      <c r="C10" s="97"/>
      <c r="D10" s="97"/>
      <c r="E10" s="100">
        <f t="shared" si="0"/>
        <v>0</v>
      </c>
    </row>
    <row r="11" spans="1:5" ht="16.5">
      <c r="A11" s="331"/>
      <c r="B11" s="332"/>
      <c r="C11" s="97"/>
      <c r="D11" s="97"/>
      <c r="E11" s="100">
        <f t="shared" si="0"/>
        <v>0</v>
      </c>
    </row>
    <row r="12" spans="1:5" ht="16.5">
      <c r="A12" s="331"/>
      <c r="B12" s="332"/>
      <c r="C12" s="97"/>
      <c r="D12" s="97"/>
      <c r="E12" s="100">
        <f t="shared" si="0"/>
        <v>0</v>
      </c>
    </row>
    <row r="13" spans="1:5" ht="16.5">
      <c r="A13" s="362" t="s">
        <v>0</v>
      </c>
      <c r="B13" s="332"/>
      <c r="C13" s="97"/>
      <c r="D13" s="97"/>
      <c r="E13" s="100">
        <f t="shared" si="0"/>
        <v>0</v>
      </c>
    </row>
    <row r="14" spans="1:5" ht="16.5">
      <c r="A14" s="362" t="s">
        <v>0</v>
      </c>
      <c r="B14" s="332"/>
      <c r="C14" s="97"/>
      <c r="D14" s="97"/>
      <c r="E14" s="100">
        <f t="shared" si="0"/>
        <v>0</v>
      </c>
    </row>
    <row r="15" spans="1:5" ht="16.5">
      <c r="A15" s="331" t="s">
        <v>0</v>
      </c>
      <c r="B15" s="332"/>
      <c r="C15" s="97"/>
      <c r="D15" s="97"/>
      <c r="E15" s="100">
        <f t="shared" si="0"/>
        <v>0</v>
      </c>
    </row>
    <row r="16" spans="1:5" ht="19.5">
      <c r="A16" s="378" t="s">
        <v>328</v>
      </c>
      <c r="B16" s="335"/>
      <c r="C16" s="377"/>
      <c r="D16" s="377"/>
      <c r="E16" s="328">
        <f>SUM(E7:E15)</f>
        <v>12000</v>
      </c>
    </row>
    <row r="19" spans="1:5" ht="18">
      <c r="A19" s="376" t="s">
        <v>329</v>
      </c>
      <c r="B19" s="375"/>
      <c r="C19" s="333" t="s">
        <v>322</v>
      </c>
      <c r="D19" s="333" t="s">
        <v>324</v>
      </c>
      <c r="E19" s="333" t="s">
        <v>326</v>
      </c>
    </row>
    <row r="20" spans="1:5" ht="18">
      <c r="A20" s="387" t="s">
        <v>342</v>
      </c>
      <c r="B20" s="375"/>
      <c r="C20" s="379" t="s">
        <v>323</v>
      </c>
      <c r="D20" s="379" t="s">
        <v>325</v>
      </c>
      <c r="E20" s="379" t="s">
        <v>327</v>
      </c>
    </row>
    <row r="21" spans="1:5" ht="16.5">
      <c r="A21" s="331" t="s">
        <v>539</v>
      </c>
      <c r="B21" s="332"/>
      <c r="C21" s="282">
        <v>1500</v>
      </c>
      <c r="D21" s="282">
        <v>12</v>
      </c>
      <c r="E21" s="101">
        <f>C21*D21</f>
        <v>18000</v>
      </c>
    </row>
    <row r="22" spans="1:5" ht="16.5">
      <c r="A22" s="331" t="s">
        <v>540</v>
      </c>
      <c r="B22" s="332"/>
      <c r="C22" s="97">
        <v>1000</v>
      </c>
      <c r="D22" s="97">
        <v>12</v>
      </c>
      <c r="E22" s="100">
        <f t="shared" ref="E22:E29" si="1">C22*D22</f>
        <v>12000</v>
      </c>
    </row>
    <row r="23" spans="1:5" ht="16.5">
      <c r="A23" s="331"/>
      <c r="B23" s="332"/>
      <c r="C23" s="97"/>
      <c r="D23" s="97"/>
      <c r="E23" s="100">
        <f t="shared" si="1"/>
        <v>0</v>
      </c>
    </row>
    <row r="24" spans="1:5" ht="16.5">
      <c r="A24" s="331"/>
      <c r="B24" s="332"/>
      <c r="C24" s="97"/>
      <c r="D24" s="97"/>
      <c r="E24" s="100">
        <f t="shared" si="1"/>
        <v>0</v>
      </c>
    </row>
    <row r="25" spans="1:5" ht="16.5">
      <c r="A25" s="331"/>
      <c r="B25" s="332"/>
      <c r="C25" s="97"/>
      <c r="D25" s="97"/>
      <c r="E25" s="100">
        <f t="shared" si="1"/>
        <v>0</v>
      </c>
    </row>
    <row r="26" spans="1:5" ht="16.5">
      <c r="A26" s="331"/>
      <c r="B26" s="332"/>
      <c r="C26" s="97"/>
      <c r="D26" s="97"/>
      <c r="E26" s="100">
        <f t="shared" si="1"/>
        <v>0</v>
      </c>
    </row>
    <row r="27" spans="1:5" ht="16.5">
      <c r="A27" s="362" t="s">
        <v>0</v>
      </c>
      <c r="B27" s="332"/>
      <c r="C27" s="97"/>
      <c r="D27" s="97"/>
      <c r="E27" s="100">
        <f t="shared" si="1"/>
        <v>0</v>
      </c>
    </row>
    <row r="28" spans="1:5" ht="16.5">
      <c r="A28" s="362" t="s">
        <v>0</v>
      </c>
      <c r="B28" s="332"/>
      <c r="C28" s="97"/>
      <c r="D28" s="97"/>
      <c r="E28" s="100">
        <f t="shared" si="1"/>
        <v>0</v>
      </c>
    </row>
    <row r="29" spans="1:5" ht="16.5">
      <c r="A29" s="331" t="s">
        <v>0</v>
      </c>
      <c r="B29" s="332"/>
      <c r="C29" s="97"/>
      <c r="D29" s="97"/>
      <c r="E29" s="100">
        <f t="shared" si="1"/>
        <v>0</v>
      </c>
    </row>
    <row r="30" spans="1:5" ht="19.5">
      <c r="A30" s="378" t="s">
        <v>328</v>
      </c>
      <c r="B30" s="335"/>
      <c r="C30" s="377"/>
      <c r="D30" s="377"/>
      <c r="E30" s="328">
        <f>SUM(E21:E29)</f>
        <v>30000</v>
      </c>
    </row>
    <row r="33" spans="1:5" ht="18">
      <c r="A33" s="376" t="s">
        <v>329</v>
      </c>
      <c r="B33" s="375"/>
      <c r="C33" s="333" t="s">
        <v>322</v>
      </c>
      <c r="D33" s="333" t="s">
        <v>324</v>
      </c>
      <c r="E33" s="333" t="s">
        <v>326</v>
      </c>
    </row>
    <row r="34" spans="1:5" ht="18">
      <c r="A34" s="387" t="s">
        <v>343</v>
      </c>
      <c r="B34" s="375"/>
      <c r="C34" s="379" t="s">
        <v>323</v>
      </c>
      <c r="D34" s="379" t="s">
        <v>325</v>
      </c>
      <c r="E34" s="379" t="s">
        <v>327</v>
      </c>
    </row>
    <row r="35" spans="1:5" ht="16.5">
      <c r="A35" s="331" t="s">
        <v>539</v>
      </c>
      <c r="B35" s="332"/>
      <c r="C35" s="282">
        <v>1800</v>
      </c>
      <c r="D35" s="282">
        <v>12</v>
      </c>
      <c r="E35" s="101">
        <f>C35*D35</f>
        <v>21600</v>
      </c>
    </row>
    <row r="36" spans="1:5" ht="16.5">
      <c r="A36" s="331" t="s">
        <v>541</v>
      </c>
      <c r="B36" s="332"/>
      <c r="C36" s="97">
        <v>1000</v>
      </c>
      <c r="D36" s="97">
        <v>12</v>
      </c>
      <c r="E36" s="100">
        <f t="shared" ref="E36:E43" si="2">C36*D36</f>
        <v>12000</v>
      </c>
    </row>
    <row r="37" spans="1:5" ht="16.5">
      <c r="A37" s="331"/>
      <c r="B37" s="332"/>
      <c r="C37" s="97"/>
      <c r="D37" s="97"/>
      <c r="E37" s="100">
        <f t="shared" si="2"/>
        <v>0</v>
      </c>
    </row>
    <row r="38" spans="1:5" ht="16.5">
      <c r="A38" s="331"/>
      <c r="B38" s="332"/>
      <c r="C38" s="97"/>
      <c r="D38" s="97"/>
      <c r="E38" s="100">
        <f t="shared" si="2"/>
        <v>0</v>
      </c>
    </row>
    <row r="39" spans="1:5" ht="16.5">
      <c r="A39" s="331"/>
      <c r="B39" s="332"/>
      <c r="C39" s="97"/>
      <c r="D39" s="97"/>
      <c r="E39" s="100">
        <f t="shared" si="2"/>
        <v>0</v>
      </c>
    </row>
    <row r="40" spans="1:5" ht="16.5">
      <c r="A40" s="331"/>
      <c r="B40" s="332"/>
      <c r="C40" s="97"/>
      <c r="D40" s="97"/>
      <c r="E40" s="100">
        <f t="shared" si="2"/>
        <v>0</v>
      </c>
    </row>
    <row r="41" spans="1:5" ht="16.5">
      <c r="A41" s="362" t="s">
        <v>0</v>
      </c>
      <c r="B41" s="332"/>
      <c r="C41" s="97"/>
      <c r="D41" s="97"/>
      <c r="E41" s="100">
        <f t="shared" si="2"/>
        <v>0</v>
      </c>
    </row>
    <row r="42" spans="1:5" ht="16.5">
      <c r="A42" s="362" t="s">
        <v>0</v>
      </c>
      <c r="B42" s="332"/>
      <c r="C42" s="97"/>
      <c r="D42" s="97"/>
      <c r="E42" s="100">
        <f t="shared" si="2"/>
        <v>0</v>
      </c>
    </row>
    <row r="43" spans="1:5" ht="16.5">
      <c r="A43" s="331" t="s">
        <v>0</v>
      </c>
      <c r="B43" s="332"/>
      <c r="C43" s="97"/>
      <c r="D43" s="97"/>
      <c r="E43" s="100">
        <f t="shared" si="2"/>
        <v>0</v>
      </c>
    </row>
    <row r="44" spans="1:5" ht="19.5">
      <c r="A44" s="378" t="s">
        <v>328</v>
      </c>
      <c r="B44" s="335"/>
      <c r="C44" s="377"/>
      <c r="D44" s="377"/>
      <c r="E44" s="328">
        <f>SUM(E35:E43)</f>
        <v>33600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horizontalDpi="4294967295"/>
  <headerFooter alignWithMargins="0">
    <oddHeader>&amp;R3,10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4" enableFormatConditionsCalculation="0">
    <tabColor indexed="47"/>
  </sheetPr>
  <dimension ref="A1:F29"/>
  <sheetViews>
    <sheetView zoomScale="70" workbookViewId="0">
      <selection activeCell="C5" sqref="C5"/>
    </sheetView>
  </sheetViews>
  <sheetFormatPr baseColWidth="10" defaultColWidth="10.85546875" defaultRowHeight="12.75"/>
  <cols>
    <col min="1" max="1" width="24.42578125" style="9" customWidth="1"/>
    <col min="2" max="2" width="14.7109375" style="46" customWidth="1"/>
    <col min="3" max="3" width="19.140625" style="47" bestFit="1" customWidth="1"/>
    <col min="4" max="6" width="14.7109375" style="46" customWidth="1"/>
    <col min="7" max="7" width="11.42578125" style="9" customWidth="1"/>
    <col min="8" max="16384" width="10.85546875" style="9"/>
  </cols>
  <sheetData>
    <row r="1" spans="1:6" s="25" customFormat="1" ht="23.25" thickBot="1">
      <c r="A1" s="740" t="s">
        <v>87</v>
      </c>
      <c r="B1" s="741"/>
      <c r="C1" s="741"/>
      <c r="D1" s="741"/>
      <c r="E1" s="741"/>
      <c r="F1" s="742"/>
    </row>
    <row r="2" spans="1:6" s="25" customFormat="1" ht="22.5">
      <c r="A2" s="425"/>
      <c r="B2" s="425"/>
      <c r="C2" s="425"/>
      <c r="D2" s="425"/>
      <c r="E2" s="425"/>
      <c r="F2" s="425"/>
    </row>
    <row r="3" spans="1:6" s="25" customFormat="1" ht="22.5">
      <c r="A3" s="425"/>
      <c r="B3" s="425"/>
      <c r="C3" s="425"/>
      <c r="D3" s="425"/>
      <c r="E3" s="425"/>
      <c r="F3" s="425"/>
    </row>
    <row r="4" spans="1:6" s="25" customFormat="1" ht="18">
      <c r="A4" s="136"/>
      <c r="B4" s="137" t="s">
        <v>0</v>
      </c>
      <c r="C4" s="138"/>
      <c r="D4" s="137"/>
      <c r="E4" s="137"/>
      <c r="F4" s="137"/>
    </row>
    <row r="5" spans="1:6" s="26" customFormat="1" ht="36">
      <c r="A5" s="140" t="s">
        <v>88</v>
      </c>
      <c r="B5" s="141" t="s">
        <v>193</v>
      </c>
      <c r="C5" s="142" t="s">
        <v>89</v>
      </c>
      <c r="D5" s="141" t="s">
        <v>468</v>
      </c>
      <c r="E5" s="141" t="s">
        <v>469</v>
      </c>
      <c r="F5" s="141" t="s">
        <v>470</v>
      </c>
    </row>
    <row r="6" spans="1:6" s="25" customFormat="1" ht="16.5">
      <c r="A6" s="143"/>
      <c r="B6" s="147"/>
      <c r="C6" s="148"/>
      <c r="D6" s="147"/>
      <c r="E6" s="147"/>
      <c r="F6" s="147"/>
    </row>
    <row r="7" spans="1:6" s="25" customFormat="1" ht="16.5">
      <c r="A7" s="143" t="s">
        <v>90</v>
      </c>
      <c r="B7" s="144">
        <f>'1.1 Détails Investissements'!B5+'1.1 Détails Investissements'!D5</f>
        <v>3800</v>
      </c>
      <c r="C7" s="145">
        <v>3</v>
      </c>
      <c r="D7" s="146">
        <f>B7/C7</f>
        <v>1266.6666666666667</v>
      </c>
      <c r="E7" s="146">
        <f>B7/C7</f>
        <v>1266.6666666666667</v>
      </c>
      <c r="F7" s="146">
        <f>B7/C7</f>
        <v>1266.6666666666667</v>
      </c>
    </row>
    <row r="8" spans="1:6" s="25" customFormat="1" ht="16.5">
      <c r="A8" s="143" t="s">
        <v>356</v>
      </c>
      <c r="B8" s="144">
        <f>'1.1 Détails Investissements'!E5</f>
        <v>1558</v>
      </c>
      <c r="C8" s="145">
        <v>3</v>
      </c>
      <c r="D8" s="399"/>
      <c r="E8" s="146">
        <f>B8/C8</f>
        <v>519.33333333333337</v>
      </c>
      <c r="F8" s="146">
        <f>B8/C8</f>
        <v>519.33333333333337</v>
      </c>
    </row>
    <row r="9" spans="1:6" s="25" customFormat="1" ht="16.5">
      <c r="A9" s="143" t="s">
        <v>91</v>
      </c>
      <c r="B9" s="144">
        <f>'1.1 Détails Investissements'!B14+'1.1 Détails Investissements'!D14</f>
        <v>0</v>
      </c>
      <c r="C9" s="145">
        <v>15</v>
      </c>
      <c r="D9" s="146">
        <f>B9/C9</f>
        <v>0</v>
      </c>
      <c r="E9" s="146">
        <f>B9/C9</f>
        <v>0</v>
      </c>
      <c r="F9" s="146">
        <f>B9/C9</f>
        <v>0</v>
      </c>
    </row>
    <row r="10" spans="1:6" s="25" customFormat="1" ht="16.5">
      <c r="A10" s="143"/>
      <c r="B10" s="147"/>
      <c r="C10" s="148"/>
      <c r="D10" s="147"/>
      <c r="E10" s="147"/>
      <c r="F10" s="147"/>
    </row>
    <row r="11" spans="1:6" s="25" customFormat="1" ht="16.5">
      <c r="A11" s="143" t="s">
        <v>92</v>
      </c>
      <c r="B11" s="144">
        <f>'1.1 Détails Investissements'!B16+'1.1 Détails Investissements'!D16</f>
        <v>0</v>
      </c>
      <c r="C11" s="145">
        <v>3</v>
      </c>
      <c r="D11" s="146">
        <f>B11/C11</f>
        <v>0</v>
      </c>
      <c r="E11" s="146">
        <f t="shared" ref="E11:E20" si="0">B11/C11</f>
        <v>0</v>
      </c>
      <c r="F11" s="146">
        <f t="shared" ref="F11:F20" si="1">B11/C11</f>
        <v>0</v>
      </c>
    </row>
    <row r="12" spans="1:6" s="25" customFormat="1" ht="16.5">
      <c r="A12" s="143" t="s">
        <v>357</v>
      </c>
      <c r="B12" s="144">
        <f>'1.1 Détails Investissements'!E16</f>
        <v>0</v>
      </c>
      <c r="C12" s="145">
        <v>10</v>
      </c>
      <c r="D12" s="400"/>
      <c r="E12" s="146">
        <f t="shared" si="0"/>
        <v>0</v>
      </c>
      <c r="F12" s="146">
        <f t="shared" si="1"/>
        <v>0</v>
      </c>
    </row>
    <row r="13" spans="1:6" s="25" customFormat="1" ht="16.5">
      <c r="A13" s="143" t="s">
        <v>93</v>
      </c>
      <c r="B13" s="144">
        <f>'1.1 Détails Investissements'!B30+'1.1 Détails Investissements'!D30</f>
        <v>0</v>
      </c>
      <c r="C13" s="145">
        <v>10</v>
      </c>
      <c r="D13" s="146">
        <f>B13/C13</f>
        <v>0</v>
      </c>
      <c r="E13" s="146">
        <f t="shared" si="0"/>
        <v>0</v>
      </c>
      <c r="F13" s="146">
        <f t="shared" si="1"/>
        <v>0</v>
      </c>
    </row>
    <row r="14" spans="1:6" s="25" customFormat="1" ht="16.5">
      <c r="A14" s="143" t="s">
        <v>358</v>
      </c>
      <c r="B14" s="144">
        <f>'1.1 Détails Investissements'!E30</f>
        <v>0</v>
      </c>
      <c r="C14" s="145">
        <v>10</v>
      </c>
      <c r="D14" s="400"/>
      <c r="E14" s="146">
        <f t="shared" si="0"/>
        <v>0</v>
      </c>
      <c r="F14" s="146">
        <f t="shared" si="1"/>
        <v>0</v>
      </c>
    </row>
    <row r="15" spans="1:6" s="25" customFormat="1" ht="16.5">
      <c r="A15" s="143" t="s">
        <v>94</v>
      </c>
      <c r="B15" s="144">
        <f>'1.1 Détails Investissements'!B40+'1.1 Détails Investissements'!D40</f>
        <v>0</v>
      </c>
      <c r="C15" s="145">
        <v>5</v>
      </c>
      <c r="D15" s="146">
        <f>B15/C15</f>
        <v>0</v>
      </c>
      <c r="E15" s="146">
        <f t="shared" si="0"/>
        <v>0</v>
      </c>
      <c r="F15" s="146">
        <f t="shared" si="1"/>
        <v>0</v>
      </c>
    </row>
    <row r="16" spans="1:6" s="25" customFormat="1" ht="16.5">
      <c r="A16" s="143" t="s">
        <v>359</v>
      </c>
      <c r="B16" s="144">
        <f>'1.1 Détails Investissements'!E40</f>
        <v>0</v>
      </c>
      <c r="C16" s="145">
        <v>5</v>
      </c>
      <c r="D16" s="400"/>
      <c r="E16" s="146">
        <f t="shared" si="0"/>
        <v>0</v>
      </c>
      <c r="F16" s="146">
        <f t="shared" si="1"/>
        <v>0</v>
      </c>
    </row>
    <row r="17" spans="1:6" s="25" customFormat="1" ht="16.5">
      <c r="A17" s="143" t="s">
        <v>95</v>
      </c>
      <c r="B17" s="144">
        <f>'1.1 Détails Investissements'!B44+'1.1 Détails Investissements'!D44</f>
        <v>2800</v>
      </c>
      <c r="C17" s="145">
        <v>5</v>
      </c>
      <c r="D17" s="146">
        <f>B17/C17</f>
        <v>560</v>
      </c>
      <c r="E17" s="146">
        <f t="shared" si="0"/>
        <v>560</v>
      </c>
      <c r="F17" s="146">
        <f t="shared" si="1"/>
        <v>560</v>
      </c>
    </row>
    <row r="18" spans="1:6" s="25" customFormat="1" ht="16.5">
      <c r="A18" s="143" t="s">
        <v>360</v>
      </c>
      <c r="B18" s="144">
        <f>'1.1 Détails Investissements'!E44</f>
        <v>0</v>
      </c>
      <c r="C18" s="145">
        <v>5</v>
      </c>
      <c r="D18" s="400"/>
      <c r="E18" s="146">
        <f t="shared" si="0"/>
        <v>0</v>
      </c>
      <c r="F18" s="146">
        <f t="shared" si="1"/>
        <v>0</v>
      </c>
    </row>
    <row r="19" spans="1:6" s="25" customFormat="1" ht="16.5">
      <c r="A19" s="143" t="s">
        <v>96</v>
      </c>
      <c r="B19" s="144">
        <f>'1.1 Détails Investissements'!B53+'1.1 Détails Investissements'!D53</f>
        <v>700</v>
      </c>
      <c r="C19" s="145">
        <v>10</v>
      </c>
      <c r="D19" s="146">
        <f>B19/C19</f>
        <v>70</v>
      </c>
      <c r="E19" s="146">
        <f t="shared" si="0"/>
        <v>70</v>
      </c>
      <c r="F19" s="146">
        <f t="shared" si="1"/>
        <v>70</v>
      </c>
    </row>
    <row r="20" spans="1:6" s="25" customFormat="1" ht="16.5">
      <c r="A20" s="143" t="s">
        <v>361</v>
      </c>
      <c r="B20" s="144">
        <f>'1.1 Détails Investissements'!E53</f>
        <v>0</v>
      </c>
      <c r="C20" s="145">
        <v>10</v>
      </c>
      <c r="D20" s="400"/>
      <c r="E20" s="146">
        <f t="shared" si="0"/>
        <v>0</v>
      </c>
      <c r="F20" s="146">
        <f t="shared" si="1"/>
        <v>0</v>
      </c>
    </row>
    <row r="21" spans="1:6" s="25" customFormat="1" ht="22.5">
      <c r="A21" s="776" t="s">
        <v>467</v>
      </c>
      <c r="B21" s="777"/>
      <c r="C21" s="778"/>
      <c r="D21" s="398">
        <f>SUM(D6:D20)</f>
        <v>1896.6666666666667</v>
      </c>
      <c r="E21" s="398">
        <f>SUM(E6:E20)</f>
        <v>2416</v>
      </c>
      <c r="F21" s="398">
        <f>SUM(F6:F20)</f>
        <v>2416</v>
      </c>
    </row>
    <row r="22" spans="1:6" s="25" customFormat="1" ht="15.75">
      <c r="B22" s="44"/>
      <c r="C22" s="45"/>
      <c r="D22" s="44"/>
      <c r="E22" s="44"/>
      <c r="F22" s="44"/>
    </row>
    <row r="23" spans="1:6" s="25" customFormat="1" ht="15.75">
      <c r="A23" s="9"/>
      <c r="B23" s="46"/>
      <c r="C23" s="47"/>
      <c r="D23" s="46"/>
      <c r="E23" s="46"/>
      <c r="F23" s="46"/>
    </row>
    <row r="24" spans="1:6" s="25" customFormat="1" ht="15.75">
      <c r="A24" s="9"/>
      <c r="B24" s="46"/>
      <c r="C24" s="47"/>
      <c r="D24" s="46"/>
      <c r="E24" s="46"/>
      <c r="F24" s="46"/>
    </row>
    <row r="25" spans="1:6" s="25" customFormat="1" ht="15.75">
      <c r="A25" s="9"/>
      <c r="B25" s="46"/>
      <c r="C25" s="47"/>
      <c r="D25" s="46"/>
      <c r="E25" s="46"/>
      <c r="F25" s="46"/>
    </row>
    <row r="26" spans="1:6" s="25" customFormat="1" ht="15.75">
      <c r="A26" s="9"/>
      <c r="B26" s="46"/>
      <c r="C26" s="47"/>
      <c r="D26" s="46"/>
      <c r="E26" s="46"/>
      <c r="F26" s="46"/>
    </row>
    <row r="27" spans="1:6" s="25" customFormat="1" ht="15.75">
      <c r="A27" s="9"/>
      <c r="B27" s="46"/>
      <c r="C27" s="47"/>
      <c r="D27" s="46"/>
      <c r="E27" s="46"/>
      <c r="F27" s="46"/>
    </row>
    <row r="28" spans="1:6" s="25" customFormat="1" ht="15.75">
      <c r="A28" s="9"/>
      <c r="B28" s="46"/>
      <c r="C28" s="47"/>
      <c r="D28" s="46"/>
      <c r="E28" s="46"/>
      <c r="F28" s="46"/>
    </row>
    <row r="29" spans="1:6" s="25" customFormat="1" ht="15.75">
      <c r="A29" s="9"/>
      <c r="B29" s="46"/>
      <c r="C29" s="47"/>
      <c r="D29" s="46"/>
      <c r="E29" s="46"/>
      <c r="F29" s="46"/>
    </row>
  </sheetData>
  <sheetProtection password="F060" sheet="1" objects="1" scenarios="1"/>
  <mergeCells count="2">
    <mergeCell ref="A1:F1"/>
    <mergeCell ref="A21:C21"/>
  </mergeCells>
  <phoneticPr fontId="0" type="noConversion"/>
  <pageMargins left="0.19685039370078741" right="0.19685039370078741" top="0.86614173228346458" bottom="0.6692913385826772" header="0.51181102362204722" footer="0.39370078740157483"/>
  <pageSetup paperSize="9" orientation="portrait" horizontalDpi="150" verticalDpi="150"/>
  <headerFooter alignWithMargins="0">
    <oddHeader>&amp;R3.12</oddHeader>
    <oddFooter>&amp;Limprimé le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5" enableFormatConditionsCalculation="0">
    <tabColor theme="8" tint="0.39997558519241921"/>
  </sheetPr>
  <dimension ref="A1:M1984"/>
  <sheetViews>
    <sheetView showGridLines="0" zoomScale="75" workbookViewId="0">
      <selection activeCell="A21" sqref="A21"/>
    </sheetView>
  </sheetViews>
  <sheetFormatPr baseColWidth="10" defaultColWidth="10.85546875" defaultRowHeight="12.75"/>
  <cols>
    <col min="1" max="1" width="13.7109375" style="27" customWidth="1"/>
    <col min="2" max="2" width="15" style="27" customWidth="1"/>
    <col min="3" max="3" width="13.42578125" style="27" customWidth="1"/>
    <col min="4" max="4" width="14.42578125" style="27" customWidth="1"/>
    <col min="5" max="5" width="14.7109375" style="27" customWidth="1"/>
    <col min="6" max="6" width="15.42578125" style="27" customWidth="1"/>
    <col min="7" max="7" width="10.85546875" style="27"/>
    <col min="8" max="8" width="13" style="27" bestFit="1" customWidth="1"/>
    <col min="9" max="9" width="16.42578125" style="27" bestFit="1" customWidth="1"/>
    <col min="10" max="10" width="13.140625" style="27" bestFit="1" customWidth="1"/>
    <col min="11" max="12" width="15" style="27" bestFit="1" customWidth="1"/>
    <col min="13" max="16384" width="10.85546875" style="27"/>
  </cols>
  <sheetData>
    <row r="1" spans="1:13" ht="22.5">
      <c r="A1" s="782" t="s">
        <v>279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</row>
    <row r="2" spans="1:13" ht="17.25" thickBot="1">
      <c r="A2" s="78"/>
      <c r="B2" s="78"/>
      <c r="C2" s="78"/>
      <c r="D2" s="78"/>
      <c r="E2" s="78"/>
      <c r="F2" s="78"/>
    </row>
    <row r="3" spans="1:13" ht="18">
      <c r="A3" s="779" t="str">
        <f>'1.0 Plan de financement'!H8</f>
        <v xml:space="preserve">              Prêt d'Honneur LI</v>
      </c>
      <c r="B3" s="780"/>
      <c r="C3" s="780"/>
      <c r="D3" s="780"/>
      <c r="E3" s="780"/>
      <c r="F3" s="781"/>
      <c r="H3" s="779" t="str">
        <f>'1.0 Plan de financement'!H15</f>
        <v xml:space="preserve">              Avance Remboursable Etat NACRE</v>
      </c>
      <c r="I3" s="780"/>
      <c r="J3" s="780"/>
      <c r="K3" s="780"/>
      <c r="L3" s="780"/>
      <c r="M3" s="781"/>
    </row>
    <row r="4" spans="1:13" ht="18">
      <c r="A4" s="672" t="s">
        <v>179</v>
      </c>
      <c r="B4" s="150" t="s">
        <v>97</v>
      </c>
      <c r="C4" s="150" t="s">
        <v>178</v>
      </c>
      <c r="D4" s="150" t="s">
        <v>177</v>
      </c>
      <c r="E4" s="150" t="s">
        <v>177</v>
      </c>
      <c r="F4" s="673" t="s">
        <v>0</v>
      </c>
      <c r="H4" s="672" t="s">
        <v>179</v>
      </c>
      <c r="I4" s="150" t="s">
        <v>97</v>
      </c>
      <c r="J4" s="150" t="s">
        <v>178</v>
      </c>
      <c r="K4" s="150" t="s">
        <v>177</v>
      </c>
      <c r="L4" s="150" t="s">
        <v>177</v>
      </c>
      <c r="M4" s="673" t="s">
        <v>0</v>
      </c>
    </row>
    <row r="5" spans="1:13" ht="18">
      <c r="A5" s="672" t="s">
        <v>180</v>
      </c>
      <c r="B5" s="150" t="s">
        <v>181</v>
      </c>
      <c r="C5" s="150" t="s">
        <v>98</v>
      </c>
      <c r="D5" s="150" t="s">
        <v>175</v>
      </c>
      <c r="E5" s="150" t="s">
        <v>176</v>
      </c>
      <c r="F5" s="673"/>
      <c r="H5" s="672" t="s">
        <v>180</v>
      </c>
      <c r="I5" s="150" t="s">
        <v>181</v>
      </c>
      <c r="J5" s="150" t="s">
        <v>98</v>
      </c>
      <c r="K5" s="150" t="s">
        <v>175</v>
      </c>
      <c r="L5" s="150" t="s">
        <v>176</v>
      </c>
      <c r="M5" s="673"/>
    </row>
    <row r="6" spans="1:13" ht="16.5">
      <c r="A6" s="674">
        <v>5</v>
      </c>
      <c r="B6" s="496">
        <v>1E-4</v>
      </c>
      <c r="C6" s="151">
        <f>'1.0 Plan de financement'!I8</f>
        <v>0</v>
      </c>
      <c r="D6" s="151">
        <f>C6*(B6/(1-(1+B6)^-A6))</f>
        <v>0</v>
      </c>
      <c r="E6" s="151">
        <f>C9/12</f>
        <v>0</v>
      </c>
      <c r="F6" s="675">
        <f>E6*6.55957</f>
        <v>0</v>
      </c>
      <c r="H6" s="674">
        <v>5</v>
      </c>
      <c r="I6" s="496">
        <v>1E-4</v>
      </c>
      <c r="J6" s="151">
        <f>'1.0 Plan de financement'!P8</f>
        <v>0</v>
      </c>
      <c r="K6" s="151">
        <f>J6*(I6/(1-(1+I6)^-H6))</f>
        <v>0</v>
      </c>
      <c r="L6" s="151">
        <f>J9/12</f>
        <v>0</v>
      </c>
      <c r="M6" s="675">
        <f>L6*6.55957</f>
        <v>0</v>
      </c>
    </row>
    <row r="7" spans="1:13" ht="16.5">
      <c r="A7" s="676" t="s">
        <v>99</v>
      </c>
      <c r="B7" s="152" t="s">
        <v>100</v>
      </c>
      <c r="C7" s="152" t="s">
        <v>101</v>
      </c>
      <c r="D7" s="152" t="s">
        <v>102</v>
      </c>
      <c r="E7" s="152" t="s">
        <v>100</v>
      </c>
      <c r="F7" s="677" t="s">
        <v>100</v>
      </c>
      <c r="H7" s="676" t="s">
        <v>99</v>
      </c>
      <c r="I7" s="152" t="s">
        <v>100</v>
      </c>
      <c r="J7" s="152" t="s">
        <v>101</v>
      </c>
      <c r="K7" s="152" t="s">
        <v>102</v>
      </c>
      <c r="L7" s="152" t="s">
        <v>100</v>
      </c>
      <c r="M7" s="677" t="s">
        <v>100</v>
      </c>
    </row>
    <row r="8" spans="1:13" ht="16.5">
      <c r="A8" s="678"/>
      <c r="B8" s="153" t="s">
        <v>103</v>
      </c>
      <c r="C8" s="153"/>
      <c r="D8" s="153" t="s">
        <v>104</v>
      </c>
      <c r="E8" s="153" t="s">
        <v>105</v>
      </c>
      <c r="F8" s="679" t="s">
        <v>106</v>
      </c>
      <c r="H8" s="678"/>
      <c r="I8" s="153" t="s">
        <v>103</v>
      </c>
      <c r="J8" s="153"/>
      <c r="K8" s="153" t="s">
        <v>104</v>
      </c>
      <c r="L8" s="153" t="s">
        <v>105</v>
      </c>
      <c r="M8" s="679" t="s">
        <v>106</v>
      </c>
    </row>
    <row r="9" spans="1:13" ht="16.5">
      <c r="A9" s="680">
        <f>1</f>
        <v>1</v>
      </c>
      <c r="B9" s="298">
        <f>C6</f>
        <v>0</v>
      </c>
      <c r="C9" s="298">
        <f>D6</f>
        <v>0</v>
      </c>
      <c r="D9" s="298">
        <f>B9*$B$6</f>
        <v>0</v>
      </c>
      <c r="E9" s="298">
        <f>C9-D9</f>
        <v>0</v>
      </c>
      <c r="F9" s="681">
        <f>B9-E9</f>
        <v>0</v>
      </c>
      <c r="H9" s="680">
        <f>1</f>
        <v>1</v>
      </c>
      <c r="I9" s="298">
        <f>J6</f>
        <v>0</v>
      </c>
      <c r="J9" s="298">
        <f>K6</f>
        <v>0</v>
      </c>
      <c r="K9" s="298">
        <f>I9*$B$6</f>
        <v>0</v>
      </c>
      <c r="L9" s="298">
        <f>J9-K9</f>
        <v>0</v>
      </c>
      <c r="M9" s="681">
        <f>I9-L9</f>
        <v>0</v>
      </c>
    </row>
    <row r="10" spans="1:13" ht="16.5">
      <c r="A10" s="682">
        <f>IF(A9=" "," ",IF(A9+1&gt;$A$6," ",A9+1))</f>
        <v>2</v>
      </c>
      <c r="B10" s="166">
        <f t="shared" ref="B10:B15" si="0">IF(A9=" "," ",IF(A9+1&gt;$A$6," ",F9))</f>
        <v>0</v>
      </c>
      <c r="C10" s="166">
        <f t="shared" ref="C10:C15" si="1">IF(A9=" "," ",IF(A9+1&gt;$A$6," ",C9))</f>
        <v>0</v>
      </c>
      <c r="D10" s="166">
        <f t="shared" ref="D10:D15" si="2">IF(A9=" "," ",IF(A9+1&gt;$A$6," ",B10*$B$6))</f>
        <v>0</v>
      </c>
      <c r="E10" s="166">
        <f t="shared" ref="E10:E15" si="3">IF(A9=" "," ",IF(A9+1&gt;$A$6," ",C10-D10))</f>
        <v>0</v>
      </c>
      <c r="F10" s="683">
        <f t="shared" ref="F10:F15" si="4">IF(A9=" "," ",IF(A9+1&gt;$A$6," ",B10-E10))</f>
        <v>0</v>
      </c>
      <c r="H10" s="682">
        <f>IF(H9=" "," ",IF(H9+1&gt;$A$6," ",H9+1))</f>
        <v>2</v>
      </c>
      <c r="I10" s="166">
        <f t="shared" ref="I10:I15" si="5">IF(H9=" "," ",IF(H9+1&gt;$A$6," ",M9))</f>
        <v>0</v>
      </c>
      <c r="J10" s="166">
        <f t="shared" ref="J10:J15" si="6">IF(H9=" "," ",IF(H9+1&gt;$A$6," ",J9))</f>
        <v>0</v>
      </c>
      <c r="K10" s="166">
        <f t="shared" ref="K10:K15" si="7">IF(H9=" "," ",IF(H9+1&gt;$A$6," ",I10*$B$6))</f>
        <v>0</v>
      </c>
      <c r="L10" s="166">
        <f t="shared" ref="L10:L15" si="8">IF(H9=" "," ",IF(H9+1&gt;$A$6," ",J10-K10))</f>
        <v>0</v>
      </c>
      <c r="M10" s="683">
        <f t="shared" ref="M10:M15" si="9">IF(H9=" "," ",IF(H9+1&gt;$A$6," ",I10-L10))</f>
        <v>0</v>
      </c>
    </row>
    <row r="11" spans="1:13" ht="16.5">
      <c r="A11" s="682">
        <f>IF(A10=" "," ",IF(A10+1&gt;$A$6," ",A10+1))</f>
        <v>3</v>
      </c>
      <c r="B11" s="166">
        <f t="shared" si="0"/>
        <v>0</v>
      </c>
      <c r="C11" s="166">
        <f t="shared" si="1"/>
        <v>0</v>
      </c>
      <c r="D11" s="166">
        <f t="shared" si="2"/>
        <v>0</v>
      </c>
      <c r="E11" s="166">
        <f t="shared" si="3"/>
        <v>0</v>
      </c>
      <c r="F11" s="683">
        <f t="shared" si="4"/>
        <v>0</v>
      </c>
      <c r="H11" s="682">
        <f>IF(H10=" "," ",IF(H10+1&gt;$A$6," ",H10+1))</f>
        <v>3</v>
      </c>
      <c r="I11" s="166">
        <f t="shared" si="5"/>
        <v>0</v>
      </c>
      <c r="J11" s="166">
        <f t="shared" si="6"/>
        <v>0</v>
      </c>
      <c r="K11" s="166">
        <f t="shared" si="7"/>
        <v>0</v>
      </c>
      <c r="L11" s="166">
        <f t="shared" si="8"/>
        <v>0</v>
      </c>
      <c r="M11" s="683">
        <f t="shared" si="9"/>
        <v>0</v>
      </c>
    </row>
    <row r="12" spans="1:13" ht="16.5">
      <c r="A12" s="682">
        <f>IF(A11=" "," ",IF(A11+1&gt;$A$6," ",A11+1))</f>
        <v>4</v>
      </c>
      <c r="B12" s="166">
        <f t="shared" si="0"/>
        <v>0</v>
      </c>
      <c r="C12" s="166">
        <f t="shared" si="1"/>
        <v>0</v>
      </c>
      <c r="D12" s="166">
        <f t="shared" si="2"/>
        <v>0</v>
      </c>
      <c r="E12" s="166">
        <f t="shared" si="3"/>
        <v>0</v>
      </c>
      <c r="F12" s="683">
        <f t="shared" si="4"/>
        <v>0</v>
      </c>
      <c r="H12" s="682">
        <f>IF(H11=" "," ",IF(H11+1&gt;$A$6," ",H11+1))</f>
        <v>4</v>
      </c>
      <c r="I12" s="166">
        <f t="shared" si="5"/>
        <v>0</v>
      </c>
      <c r="J12" s="166">
        <f t="shared" si="6"/>
        <v>0</v>
      </c>
      <c r="K12" s="166">
        <f t="shared" si="7"/>
        <v>0</v>
      </c>
      <c r="L12" s="166">
        <f t="shared" si="8"/>
        <v>0</v>
      </c>
      <c r="M12" s="683">
        <f t="shared" si="9"/>
        <v>0</v>
      </c>
    </row>
    <row r="13" spans="1:13" ht="16.5">
      <c r="A13" s="682">
        <f>IF(A12=" "," ",IF(A12+1&gt;$A$6," ",A12+1))</f>
        <v>5</v>
      </c>
      <c r="B13" s="166">
        <f t="shared" si="0"/>
        <v>0</v>
      </c>
      <c r="C13" s="166">
        <f t="shared" si="1"/>
        <v>0</v>
      </c>
      <c r="D13" s="166">
        <f t="shared" si="2"/>
        <v>0</v>
      </c>
      <c r="E13" s="166">
        <f t="shared" si="3"/>
        <v>0</v>
      </c>
      <c r="F13" s="683">
        <f t="shared" si="4"/>
        <v>0</v>
      </c>
      <c r="H13" s="682">
        <f>IF(H12=" "," ",IF(H12+1&gt;$A$6," ",H12+1))</f>
        <v>5</v>
      </c>
      <c r="I13" s="166">
        <f t="shared" si="5"/>
        <v>0</v>
      </c>
      <c r="J13" s="166">
        <f t="shared" si="6"/>
        <v>0</v>
      </c>
      <c r="K13" s="166">
        <f t="shared" si="7"/>
        <v>0</v>
      </c>
      <c r="L13" s="166">
        <f t="shared" si="8"/>
        <v>0</v>
      </c>
      <c r="M13" s="683">
        <f t="shared" si="9"/>
        <v>0</v>
      </c>
    </row>
    <row r="14" spans="1:13" ht="16.5">
      <c r="A14" s="682">
        <v>6</v>
      </c>
      <c r="B14" s="166" t="str">
        <f t="shared" si="0"/>
        <v xml:space="preserve"> </v>
      </c>
      <c r="C14" s="166" t="str">
        <f t="shared" si="1"/>
        <v xml:space="preserve"> </v>
      </c>
      <c r="D14" s="166" t="str">
        <f t="shared" si="2"/>
        <v xml:space="preserve"> </v>
      </c>
      <c r="E14" s="166" t="str">
        <f t="shared" si="3"/>
        <v xml:space="preserve"> </v>
      </c>
      <c r="F14" s="683" t="str">
        <f t="shared" si="4"/>
        <v xml:space="preserve"> </v>
      </c>
      <c r="H14" s="682">
        <v>6</v>
      </c>
      <c r="I14" s="166" t="str">
        <f t="shared" si="5"/>
        <v xml:space="preserve"> </v>
      </c>
      <c r="J14" s="166" t="str">
        <f t="shared" si="6"/>
        <v xml:space="preserve"> </v>
      </c>
      <c r="K14" s="166" t="str">
        <f t="shared" si="7"/>
        <v xml:space="preserve"> </v>
      </c>
      <c r="L14" s="166" t="str">
        <f t="shared" si="8"/>
        <v xml:space="preserve"> </v>
      </c>
      <c r="M14" s="683" t="str">
        <f t="shared" si="9"/>
        <v xml:space="preserve"> </v>
      </c>
    </row>
    <row r="15" spans="1:13" ht="17.25" thickBot="1">
      <c r="A15" s="684">
        <v>7</v>
      </c>
      <c r="B15" s="685" t="str">
        <f t="shared" si="0"/>
        <v xml:space="preserve"> </v>
      </c>
      <c r="C15" s="685" t="str">
        <f t="shared" si="1"/>
        <v xml:space="preserve"> </v>
      </c>
      <c r="D15" s="685" t="str">
        <f t="shared" si="2"/>
        <v xml:space="preserve"> </v>
      </c>
      <c r="E15" s="685" t="str">
        <f t="shared" si="3"/>
        <v xml:space="preserve"> </v>
      </c>
      <c r="F15" s="686" t="str">
        <f t="shared" si="4"/>
        <v xml:space="preserve"> </v>
      </c>
      <c r="H15" s="684">
        <v>7</v>
      </c>
      <c r="I15" s="685" t="str">
        <f t="shared" si="5"/>
        <v xml:space="preserve"> </v>
      </c>
      <c r="J15" s="685" t="str">
        <f t="shared" si="6"/>
        <v xml:space="preserve"> </v>
      </c>
      <c r="K15" s="685" t="str">
        <f t="shared" si="7"/>
        <v xml:space="preserve"> </v>
      </c>
      <c r="L15" s="685" t="str">
        <f t="shared" si="8"/>
        <v xml:space="preserve"> </v>
      </c>
      <c r="M15" s="686" t="str">
        <f t="shared" si="9"/>
        <v xml:space="preserve"> </v>
      </c>
    </row>
    <row r="16" spans="1:13" customFormat="1" ht="13.5" thickBot="1"/>
    <row r="17" spans="1:13" customFormat="1" ht="18">
      <c r="A17" s="784" t="str">
        <f>'1.0 Plan de financement'!H13</f>
        <v xml:space="preserve">              Emprunt Bancaire</v>
      </c>
      <c r="B17" s="785"/>
      <c r="C17" s="785"/>
      <c r="D17" s="785"/>
      <c r="E17" s="785"/>
      <c r="F17" s="786"/>
      <c r="H17" s="784" t="str">
        <f>'1.0 Plan de financement'!H14</f>
        <v xml:space="preserve">              Autres Emprunts (PCE….)</v>
      </c>
      <c r="I17" s="785"/>
      <c r="J17" s="785"/>
      <c r="K17" s="785"/>
      <c r="L17" s="785"/>
      <c r="M17" s="786"/>
    </row>
    <row r="18" spans="1:13" customFormat="1" ht="18">
      <c r="A18" s="672" t="s">
        <v>179</v>
      </c>
      <c r="B18" s="150" t="s">
        <v>97</v>
      </c>
      <c r="C18" s="150" t="s">
        <v>178</v>
      </c>
      <c r="D18" s="150" t="s">
        <v>177</v>
      </c>
      <c r="E18" s="150" t="s">
        <v>177</v>
      </c>
      <c r="F18" s="673" t="s">
        <v>0</v>
      </c>
      <c r="H18" s="672" t="s">
        <v>179</v>
      </c>
      <c r="I18" s="150" t="s">
        <v>97</v>
      </c>
      <c r="J18" s="150" t="s">
        <v>178</v>
      </c>
      <c r="K18" s="150" t="s">
        <v>177</v>
      </c>
      <c r="L18" s="150" t="s">
        <v>177</v>
      </c>
      <c r="M18" s="673" t="s">
        <v>0</v>
      </c>
    </row>
    <row r="19" spans="1:13" customFormat="1" ht="18">
      <c r="A19" s="672" t="s">
        <v>180</v>
      </c>
      <c r="B19" s="150" t="s">
        <v>181</v>
      </c>
      <c r="C19" s="150" t="s">
        <v>98</v>
      </c>
      <c r="D19" s="150" t="s">
        <v>175</v>
      </c>
      <c r="E19" s="150" t="s">
        <v>176</v>
      </c>
      <c r="F19" s="673"/>
      <c r="H19" s="672" t="s">
        <v>180</v>
      </c>
      <c r="I19" s="150" t="s">
        <v>181</v>
      </c>
      <c r="J19" s="150" t="s">
        <v>98</v>
      </c>
      <c r="K19" s="150" t="s">
        <v>175</v>
      </c>
      <c r="L19" s="150" t="s">
        <v>176</v>
      </c>
      <c r="M19" s="673"/>
    </row>
    <row r="20" spans="1:13" customFormat="1" ht="16.5">
      <c r="A20" s="674">
        <v>3</v>
      </c>
      <c r="B20" s="619">
        <v>5.5E-2</v>
      </c>
      <c r="C20" s="151">
        <f>'1.0 Plan de financement'!I13</f>
        <v>4050.1095890410961</v>
      </c>
      <c r="D20" s="151">
        <f>C20*(B20/(1-(1+B20)^-A20))</f>
        <v>1501.1896221577501</v>
      </c>
      <c r="E20" s="151">
        <f>C23/12</f>
        <v>125.09913517981251</v>
      </c>
      <c r="F20" s="675">
        <f>E20*6.55957</f>
        <v>820.59653415144271</v>
      </c>
      <c r="H20" s="674">
        <v>5</v>
      </c>
      <c r="I20" s="619">
        <v>0.05</v>
      </c>
      <c r="J20" s="151">
        <f>'1.0 Plan de financement'!I14</f>
        <v>2000</v>
      </c>
      <c r="K20" s="151">
        <f>J20*(I20/(1-(1+I20)^-H20))</f>
        <v>461.94959625653621</v>
      </c>
      <c r="L20" s="151">
        <f>J23/12</f>
        <v>38.495799688044684</v>
      </c>
      <c r="M20" s="675">
        <f>L20*6.55957</f>
        <v>252.51589275970727</v>
      </c>
    </row>
    <row r="21" spans="1:13" customFormat="1" ht="16.5">
      <c r="A21" s="676" t="s">
        <v>99</v>
      </c>
      <c r="B21" s="152" t="s">
        <v>100</v>
      </c>
      <c r="C21" s="152" t="s">
        <v>101</v>
      </c>
      <c r="D21" s="152" t="s">
        <v>102</v>
      </c>
      <c r="E21" s="152" t="s">
        <v>100</v>
      </c>
      <c r="F21" s="677" t="s">
        <v>100</v>
      </c>
      <c r="H21" s="676" t="s">
        <v>99</v>
      </c>
      <c r="I21" s="152" t="s">
        <v>100</v>
      </c>
      <c r="J21" s="152" t="s">
        <v>101</v>
      </c>
      <c r="K21" s="152" t="s">
        <v>102</v>
      </c>
      <c r="L21" s="152" t="s">
        <v>100</v>
      </c>
      <c r="M21" s="677" t="s">
        <v>100</v>
      </c>
    </row>
    <row r="22" spans="1:13" customFormat="1" ht="16.5">
      <c r="A22" s="678"/>
      <c r="B22" s="153" t="s">
        <v>103</v>
      </c>
      <c r="C22" s="153"/>
      <c r="D22" s="153" t="s">
        <v>104</v>
      </c>
      <c r="E22" s="153" t="s">
        <v>105</v>
      </c>
      <c r="F22" s="679" t="s">
        <v>106</v>
      </c>
      <c r="H22" s="678"/>
      <c r="I22" s="153" t="s">
        <v>103</v>
      </c>
      <c r="J22" s="153"/>
      <c r="K22" s="153" t="s">
        <v>104</v>
      </c>
      <c r="L22" s="153" t="s">
        <v>105</v>
      </c>
      <c r="M22" s="679" t="s">
        <v>106</v>
      </c>
    </row>
    <row r="23" spans="1:13" customFormat="1" ht="16.5">
      <c r="A23" s="680">
        <f>1</f>
        <v>1</v>
      </c>
      <c r="B23" s="298">
        <f>C20</f>
        <v>4050.1095890410961</v>
      </c>
      <c r="C23" s="298">
        <f>D20</f>
        <v>1501.1896221577501</v>
      </c>
      <c r="D23" s="298">
        <f>B23*$B$20</f>
        <v>222.75602739726028</v>
      </c>
      <c r="E23" s="298">
        <f>C23-D23</f>
        <v>1278.4335947604898</v>
      </c>
      <c r="F23" s="681">
        <f>B23-E23</f>
        <v>2771.6759942806066</v>
      </c>
      <c r="H23" s="680">
        <f>1</f>
        <v>1</v>
      </c>
      <c r="I23" s="298">
        <f>J20</f>
        <v>2000</v>
      </c>
      <c r="J23" s="298">
        <f>K20</f>
        <v>461.94959625653621</v>
      </c>
      <c r="K23" s="298">
        <f>I23*$I$20</f>
        <v>100</v>
      </c>
      <c r="L23" s="298">
        <f>J23-K23</f>
        <v>361.94959625653621</v>
      </c>
      <c r="M23" s="681">
        <f>I23-L23</f>
        <v>1638.0504037434639</v>
      </c>
    </row>
    <row r="24" spans="1:13" customFormat="1" ht="16.5">
      <c r="A24" s="682">
        <f>IF(A23=" "," ",IF(A23+1&gt;$A$20," ",A23+1))</f>
        <v>2</v>
      </c>
      <c r="B24" s="166">
        <f t="shared" ref="B24:B37" si="10">IF(A23=" "," ",IF(A23+1&gt;$A$20," ",F23))</f>
        <v>2771.6759942806066</v>
      </c>
      <c r="C24" s="166">
        <f t="shared" ref="C24:C37" si="11">IF(A23=" "," ",IF(A23+1&gt;$A$20," ",C23))</f>
        <v>1501.1896221577501</v>
      </c>
      <c r="D24" s="166">
        <f t="shared" ref="D24:D37" si="12">IF(A23=" "," ",IF(A23+1&gt;$A$20," ",B24*$B$20))</f>
        <v>152.44217968543336</v>
      </c>
      <c r="E24" s="166">
        <f t="shared" ref="E24:E37" si="13">IF(A23=" "," ",IF(A23+1&gt;$A$20," ",C24-D24))</f>
        <v>1348.7474424723168</v>
      </c>
      <c r="F24" s="683">
        <f t="shared" ref="F24:F37" si="14">IF(A23=" "," ",IF(A23+1&gt;$A$20," ",B24-E24))</f>
        <v>1422.9285518082897</v>
      </c>
      <c r="H24" s="682">
        <f>IF(H23=" "," ",IF(H23+1&gt;$H$20," ",H23+1))</f>
        <v>2</v>
      </c>
      <c r="I24" s="166">
        <f>IF(H23=" "," ",IF(H23+1&gt;$H$20," ",M23))</f>
        <v>1638.0504037434639</v>
      </c>
      <c r="J24" s="166">
        <f>IF(H23=" "," ",IF(H23+1&gt;$H$20," ",J23))</f>
        <v>461.94959625653621</v>
      </c>
      <c r="K24" s="166">
        <f>IF(H23=" "," ",IF(H23+1&gt;$H$20," ",I24*$I$20))</f>
        <v>81.902520187173195</v>
      </c>
      <c r="L24" s="166">
        <f>IF(H23=" "," ",IF(H23+1&gt;$H$20," ",J24-K24))</f>
        <v>380.04707606936302</v>
      </c>
      <c r="M24" s="683">
        <f>IF(H23=" "," ",IF(H23+1&gt;$H$20," ",I24-L24))</f>
        <v>1258.003327674101</v>
      </c>
    </row>
    <row r="25" spans="1:13" customFormat="1" ht="16.5">
      <c r="A25" s="682">
        <f>IF(A24=" "," ",IF(A24+1&gt;$A$20," ",A24+1))</f>
        <v>3</v>
      </c>
      <c r="B25" s="166">
        <f t="shared" si="10"/>
        <v>1422.9285518082897</v>
      </c>
      <c r="C25" s="166">
        <f t="shared" si="11"/>
        <v>1501.1896221577501</v>
      </c>
      <c r="D25" s="166">
        <f t="shared" si="12"/>
        <v>78.261070349455935</v>
      </c>
      <c r="E25" s="166">
        <f t="shared" si="13"/>
        <v>1422.9285518082943</v>
      </c>
      <c r="F25" s="683">
        <f t="shared" si="14"/>
        <v>-4.5474735088646412E-12</v>
      </c>
      <c r="H25" s="682">
        <f>IF(H24=" "," ",IF(H24+1&gt;$H$20," ",H24+1))</f>
        <v>3</v>
      </c>
      <c r="I25" s="166">
        <f>IF(H24=" "," ",IF(H24+1&gt;$H$20," ",M24))</f>
        <v>1258.003327674101</v>
      </c>
      <c r="J25" s="166">
        <f>IF(H24=" "," ",IF(H24+1&gt;$H$20," ",J24))</f>
        <v>461.94959625653621</v>
      </c>
      <c r="K25" s="166">
        <f>IF(H24=" "," ",IF(H24+1&gt;$H$20," ",I25*$I$20))</f>
        <v>62.900166383705056</v>
      </c>
      <c r="L25" s="166">
        <f>IF(H24=" "," ",IF(H24+1&gt;$H$20," ",J25-K25))</f>
        <v>399.04942987283118</v>
      </c>
      <c r="M25" s="683">
        <f>IF(H24=" "," ",IF(H24+1&gt;$H$20," ",I25-L25))</f>
        <v>858.95389780126982</v>
      </c>
    </row>
    <row r="26" spans="1:13" customFormat="1" ht="16.5">
      <c r="A26" s="682" t="str">
        <f>IF(A25=" "," ",IF(A25+1&gt;$A$20," ",A25+1))</f>
        <v xml:space="preserve"> </v>
      </c>
      <c r="B26" s="166" t="str">
        <f t="shared" si="10"/>
        <v xml:space="preserve"> </v>
      </c>
      <c r="C26" s="166" t="str">
        <f t="shared" si="11"/>
        <v xml:space="preserve"> </v>
      </c>
      <c r="D26" s="166" t="str">
        <f t="shared" si="12"/>
        <v xml:space="preserve"> </v>
      </c>
      <c r="E26" s="166" t="str">
        <f t="shared" si="13"/>
        <v xml:space="preserve"> </v>
      </c>
      <c r="F26" s="683" t="str">
        <f t="shared" si="14"/>
        <v xml:space="preserve"> </v>
      </c>
      <c r="H26" s="682">
        <f>IF(H25=" "," ",IF(H25+1&gt;$H$20," ",H25+1))</f>
        <v>4</v>
      </c>
      <c r="I26" s="166">
        <f>IF(H25=" "," ",IF(H25+1&gt;$H$20," ",M25))</f>
        <v>858.95389780126982</v>
      </c>
      <c r="J26" s="166">
        <f>IF(H25=" "," ",IF(H25+1&gt;$H$20," ",J25))</f>
        <v>461.94959625653621</v>
      </c>
      <c r="K26" s="166">
        <f>IF(H25=" "," ",IF(H25+1&gt;$H$20," ",I26*$I$20))</f>
        <v>42.947694890063495</v>
      </c>
      <c r="L26" s="166">
        <f>IF(H25=" "," ",IF(H25+1&gt;$H$20," ",J26-K26))</f>
        <v>419.00190136647274</v>
      </c>
      <c r="M26" s="683">
        <f>IF(H25=" "," ",IF(H25+1&gt;$H$20," ",I26-L26))</f>
        <v>439.95199643479708</v>
      </c>
    </row>
    <row r="27" spans="1:13" customFormat="1" ht="17.25" thickBot="1">
      <c r="A27" s="682">
        <v>5</v>
      </c>
      <c r="B27" s="166" t="str">
        <f t="shared" si="10"/>
        <v xml:space="preserve"> </v>
      </c>
      <c r="C27" s="166" t="str">
        <f t="shared" si="11"/>
        <v xml:space="preserve"> </v>
      </c>
      <c r="D27" s="166" t="str">
        <f t="shared" si="12"/>
        <v xml:space="preserve"> </v>
      </c>
      <c r="E27" s="166" t="str">
        <f t="shared" si="13"/>
        <v xml:space="preserve"> </v>
      </c>
      <c r="F27" s="683" t="str">
        <f t="shared" si="14"/>
        <v xml:space="preserve"> </v>
      </c>
      <c r="H27" s="684">
        <f>IF(H26=" "," ",IF(H26+1&gt;$H$20," ",H26+1))</f>
        <v>5</v>
      </c>
      <c r="I27" s="685">
        <f>IF(H26=" "," ",IF(H26+1&gt;$H$20," ",M26))</f>
        <v>439.95199643479708</v>
      </c>
      <c r="J27" s="685">
        <f>IF(H26=" "," ",IF(H26+1&gt;$H$20," ",J26))</f>
        <v>461.94959625653621</v>
      </c>
      <c r="K27" s="685">
        <f>IF(H26=" "," ",IF(H26+1&gt;$H$20," ",I27*$I$20))</f>
        <v>21.997599821739854</v>
      </c>
      <c r="L27" s="685">
        <f>IF(H26=" "," ",IF(H26+1&gt;$H$20," ",J27-K27))</f>
        <v>439.95199643479634</v>
      </c>
      <c r="M27" s="686">
        <f>IF(H26=" "," ",IF(H26+1&gt;$H$20," ",I27-L27))</f>
        <v>7.3896444519050419E-13</v>
      </c>
    </row>
    <row r="28" spans="1:13" customFormat="1" ht="17.25" thickBot="1">
      <c r="A28" s="682">
        <v>6</v>
      </c>
      <c r="B28" s="166" t="str">
        <f t="shared" si="10"/>
        <v xml:space="preserve"> </v>
      </c>
      <c r="C28" s="166" t="str">
        <f t="shared" si="11"/>
        <v xml:space="preserve"> </v>
      </c>
      <c r="D28" s="166" t="str">
        <f t="shared" si="12"/>
        <v xml:space="preserve"> </v>
      </c>
      <c r="E28" s="166" t="str">
        <f t="shared" si="13"/>
        <v xml:space="preserve"> </v>
      </c>
      <c r="F28" s="683" t="str">
        <f t="shared" si="14"/>
        <v xml:space="preserve"> </v>
      </c>
      <c r="H28" s="533"/>
      <c r="I28" s="534"/>
      <c r="J28" s="534"/>
      <c r="K28" s="534"/>
      <c r="L28" s="534"/>
      <c r="M28" s="534"/>
    </row>
    <row r="29" spans="1:13" customFormat="1" ht="18">
      <c r="A29" s="682">
        <v>7</v>
      </c>
      <c r="B29" s="166" t="str">
        <f t="shared" si="10"/>
        <v xml:space="preserve"> </v>
      </c>
      <c r="C29" s="166" t="str">
        <f t="shared" si="11"/>
        <v xml:space="preserve"> </v>
      </c>
      <c r="D29" s="166" t="str">
        <f t="shared" si="12"/>
        <v xml:space="preserve"> </v>
      </c>
      <c r="E29" s="166" t="str">
        <f t="shared" si="13"/>
        <v xml:space="preserve"> </v>
      </c>
      <c r="F29" s="683" t="str">
        <f t="shared" si="14"/>
        <v xml:space="preserve"> </v>
      </c>
      <c r="H29" s="687"/>
      <c r="I29" s="688" t="str">
        <f>'1.0 Plan de financement'!H22</f>
        <v xml:space="preserve">              Crédits Court Terme</v>
      </c>
      <c r="J29" s="689"/>
      <c r="K29" s="690"/>
      <c r="L29" s="534"/>
      <c r="M29" s="534"/>
    </row>
    <row r="30" spans="1:13" customFormat="1" ht="18">
      <c r="A30" s="682">
        <v>8</v>
      </c>
      <c r="B30" s="166" t="str">
        <f t="shared" si="10"/>
        <v xml:space="preserve"> </v>
      </c>
      <c r="C30" s="166" t="str">
        <f t="shared" si="11"/>
        <v xml:space="preserve"> </v>
      </c>
      <c r="D30" s="166" t="str">
        <f t="shared" si="12"/>
        <v xml:space="preserve"> </v>
      </c>
      <c r="E30" s="166" t="str">
        <f t="shared" si="13"/>
        <v xml:space="preserve"> </v>
      </c>
      <c r="F30" s="683" t="str">
        <f t="shared" si="14"/>
        <v xml:space="preserve"> </v>
      </c>
      <c r="H30" s="672" t="s">
        <v>179</v>
      </c>
      <c r="I30" s="150" t="s">
        <v>97</v>
      </c>
      <c r="J30" s="150" t="s">
        <v>178</v>
      </c>
      <c r="K30" s="691" t="s">
        <v>178</v>
      </c>
    </row>
    <row r="31" spans="1:13" customFormat="1" ht="18">
      <c r="A31" s="682">
        <v>9</v>
      </c>
      <c r="B31" s="166" t="str">
        <f t="shared" si="10"/>
        <v xml:space="preserve"> </v>
      </c>
      <c r="C31" s="166" t="str">
        <f t="shared" si="11"/>
        <v xml:space="preserve"> </v>
      </c>
      <c r="D31" s="166" t="str">
        <f t="shared" si="12"/>
        <v xml:space="preserve"> </v>
      </c>
      <c r="E31" s="166" t="str">
        <f t="shared" si="13"/>
        <v xml:space="preserve"> </v>
      </c>
      <c r="F31" s="683" t="str">
        <f t="shared" si="14"/>
        <v xml:space="preserve"> </v>
      </c>
      <c r="H31" s="672" t="s">
        <v>330</v>
      </c>
      <c r="I31" s="150" t="s">
        <v>181</v>
      </c>
      <c r="J31" s="150" t="s">
        <v>331</v>
      </c>
      <c r="K31" s="691" t="s">
        <v>332</v>
      </c>
    </row>
    <row r="32" spans="1:13" customFormat="1" ht="17.25" thickBot="1">
      <c r="A32" s="682">
        <v>10</v>
      </c>
      <c r="B32" s="166" t="str">
        <f t="shared" si="10"/>
        <v xml:space="preserve"> </v>
      </c>
      <c r="C32" s="166" t="str">
        <f t="shared" si="11"/>
        <v xml:space="preserve"> </v>
      </c>
      <c r="D32" s="166" t="str">
        <f t="shared" si="12"/>
        <v xml:space="preserve"> </v>
      </c>
      <c r="E32" s="166" t="str">
        <f t="shared" si="13"/>
        <v xml:space="preserve"> </v>
      </c>
      <c r="F32" s="683" t="str">
        <f t="shared" si="14"/>
        <v xml:space="preserve"> </v>
      </c>
      <c r="H32" s="692">
        <v>3</v>
      </c>
      <c r="I32" s="693">
        <v>0.1</v>
      </c>
      <c r="J32" s="694">
        <f>'1.0 Plan de financement'!I22</f>
        <v>0</v>
      </c>
      <c r="K32" s="695">
        <f>J32*I32*H32/12</f>
        <v>0</v>
      </c>
    </row>
    <row r="33" spans="1:6" customFormat="1" ht="16.5">
      <c r="A33" s="682">
        <v>11</v>
      </c>
      <c r="B33" s="166" t="str">
        <f t="shared" si="10"/>
        <v xml:space="preserve"> </v>
      </c>
      <c r="C33" s="166" t="str">
        <f t="shared" si="11"/>
        <v xml:space="preserve"> </v>
      </c>
      <c r="D33" s="166" t="str">
        <f t="shared" si="12"/>
        <v xml:space="preserve"> </v>
      </c>
      <c r="E33" s="166" t="str">
        <f t="shared" si="13"/>
        <v xml:space="preserve"> </v>
      </c>
      <c r="F33" s="683" t="str">
        <f t="shared" si="14"/>
        <v xml:space="preserve"> </v>
      </c>
    </row>
    <row r="34" spans="1:6" customFormat="1" ht="16.5">
      <c r="A34" s="682">
        <v>12</v>
      </c>
      <c r="B34" s="166" t="str">
        <f t="shared" si="10"/>
        <v xml:space="preserve"> </v>
      </c>
      <c r="C34" s="166" t="str">
        <f t="shared" si="11"/>
        <v xml:space="preserve"> </v>
      </c>
      <c r="D34" s="166" t="str">
        <f t="shared" si="12"/>
        <v xml:space="preserve"> </v>
      </c>
      <c r="E34" s="166" t="str">
        <f t="shared" si="13"/>
        <v xml:space="preserve"> </v>
      </c>
      <c r="F34" s="683" t="str">
        <f t="shared" si="14"/>
        <v xml:space="preserve"> </v>
      </c>
    </row>
    <row r="35" spans="1:6" customFormat="1" ht="16.5">
      <c r="A35" s="682">
        <v>13</v>
      </c>
      <c r="B35" s="166" t="str">
        <f t="shared" si="10"/>
        <v xml:space="preserve"> </v>
      </c>
      <c r="C35" s="166" t="str">
        <f t="shared" si="11"/>
        <v xml:space="preserve"> </v>
      </c>
      <c r="D35" s="166" t="str">
        <f t="shared" si="12"/>
        <v xml:space="preserve"> </v>
      </c>
      <c r="E35" s="166" t="str">
        <f t="shared" si="13"/>
        <v xml:space="preserve"> </v>
      </c>
      <c r="F35" s="683" t="str">
        <f t="shared" si="14"/>
        <v xml:space="preserve"> </v>
      </c>
    </row>
    <row r="36" spans="1:6" customFormat="1" ht="16.5">
      <c r="A36" s="682">
        <v>14</v>
      </c>
      <c r="B36" s="166" t="str">
        <f t="shared" si="10"/>
        <v xml:space="preserve"> </v>
      </c>
      <c r="C36" s="166" t="str">
        <f t="shared" si="11"/>
        <v xml:space="preserve"> </v>
      </c>
      <c r="D36" s="166" t="str">
        <f t="shared" si="12"/>
        <v xml:space="preserve"> </v>
      </c>
      <c r="E36" s="166" t="str">
        <f t="shared" si="13"/>
        <v xml:space="preserve"> </v>
      </c>
      <c r="F36" s="683" t="str">
        <f t="shared" si="14"/>
        <v xml:space="preserve"> </v>
      </c>
    </row>
    <row r="37" spans="1:6" customFormat="1" ht="17.25" thickBot="1">
      <c r="A37" s="684">
        <v>15</v>
      </c>
      <c r="B37" s="685" t="str">
        <f t="shared" si="10"/>
        <v xml:space="preserve"> </v>
      </c>
      <c r="C37" s="685" t="str">
        <f t="shared" si="11"/>
        <v xml:space="preserve"> </v>
      </c>
      <c r="D37" s="685" t="str">
        <f t="shared" si="12"/>
        <v xml:space="preserve"> </v>
      </c>
      <c r="E37" s="685" t="str">
        <f t="shared" si="13"/>
        <v xml:space="preserve"> </v>
      </c>
      <c r="F37" s="686" t="str">
        <f t="shared" si="14"/>
        <v xml:space="preserve"> </v>
      </c>
    </row>
    <row r="38" spans="1:6" customFormat="1"/>
    <row r="39" spans="1:6" customFormat="1"/>
    <row r="40" spans="1:6" customFormat="1"/>
    <row r="41" spans="1:6" customFormat="1"/>
    <row r="42" spans="1:6" customFormat="1"/>
    <row r="43" spans="1:6" customFormat="1"/>
    <row r="44" spans="1:6" customFormat="1"/>
    <row r="45" spans="1:6" customFormat="1"/>
    <row r="46" spans="1:6" customFormat="1"/>
    <row r="47" spans="1:6" customFormat="1"/>
    <row r="48" spans="1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spans="8:11" customFormat="1"/>
    <row r="1970" spans="8:11" customFormat="1"/>
    <row r="1971" spans="8:11" customFormat="1"/>
    <row r="1972" spans="8:11" customFormat="1"/>
    <row r="1973" spans="8:11" customFormat="1"/>
    <row r="1974" spans="8:11" customFormat="1"/>
    <row r="1975" spans="8:11" customFormat="1"/>
    <row r="1976" spans="8:11" customFormat="1"/>
    <row r="1977" spans="8:11" customFormat="1"/>
    <row r="1978" spans="8:11" customFormat="1"/>
    <row r="1979" spans="8:11" customFormat="1"/>
    <row r="1980" spans="8:11" customFormat="1"/>
    <row r="1981" spans="8:11" customFormat="1"/>
    <row r="1982" spans="8:11" customFormat="1"/>
    <row r="1983" spans="8:11" customFormat="1">
      <c r="H1983" s="27"/>
      <c r="I1983" s="27"/>
      <c r="J1983" s="27"/>
      <c r="K1983" s="27"/>
    </row>
    <row r="1984" spans="8:11" customFormat="1">
      <c r="H1984" s="27"/>
      <c r="I1984" s="27"/>
      <c r="J1984" s="27"/>
      <c r="K1984" s="27"/>
    </row>
  </sheetData>
  <sheetProtection password="EFA0" sheet="1" objects="1" scenarios="1"/>
  <mergeCells count="5">
    <mergeCell ref="H3:M3"/>
    <mergeCell ref="A1:M1"/>
    <mergeCell ref="A3:F3"/>
    <mergeCell ref="A17:F17"/>
    <mergeCell ref="H17:M17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horizontalDpi="4294967294"/>
  <headerFooter alignWithMargins="0">
    <oddHeader>&amp;R3.131</oddHeader>
    <oddFooter>&amp;Limprimé le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22" enableFormatConditionsCalculation="0">
    <tabColor indexed="20"/>
  </sheetPr>
  <dimension ref="A1:M25"/>
  <sheetViews>
    <sheetView showGridLines="0" topLeftCell="A13" zoomScale="75" zoomScaleNormal="75" zoomScalePageLayoutView="75" workbookViewId="0">
      <selection activeCell="C45" sqref="C45"/>
    </sheetView>
  </sheetViews>
  <sheetFormatPr baseColWidth="10" defaultRowHeight="12.75"/>
  <cols>
    <col min="1" max="1" width="43.42578125" customWidth="1"/>
    <col min="2" max="2" width="6.140625" customWidth="1"/>
    <col min="3" max="3" width="14" customWidth="1"/>
    <col min="4" max="4" width="1.42578125" customWidth="1"/>
    <col min="5" max="5" width="14" customWidth="1"/>
    <col min="6" max="6" width="1.42578125" customWidth="1"/>
    <col min="7" max="7" width="14" customWidth="1"/>
    <col min="8" max="8" width="8.140625" customWidth="1"/>
    <col min="12" max="12" width="7.28515625" customWidth="1"/>
  </cols>
  <sheetData>
    <row r="1" spans="1:13" ht="23.25" thickBot="1">
      <c r="A1" s="740" t="s">
        <v>187</v>
      </c>
      <c r="B1" s="741"/>
      <c r="C1" s="787"/>
      <c r="H1" s="7"/>
    </row>
    <row r="2" spans="1:13" ht="19.5">
      <c r="A2" s="71"/>
      <c r="B2" s="54"/>
      <c r="C2" s="403" t="s">
        <v>49</v>
      </c>
      <c r="D2" s="404"/>
      <c r="E2" s="403" t="s">
        <v>65</v>
      </c>
      <c r="F2" s="404"/>
      <c r="G2" s="403" t="s">
        <v>51</v>
      </c>
      <c r="H2" s="7"/>
    </row>
    <row r="3" spans="1:13" ht="19.5">
      <c r="A3" s="61" t="s">
        <v>186</v>
      </c>
      <c r="B3" s="71"/>
      <c r="C3" s="155">
        <f>'3.1 Détails charges fixes'!C78</f>
        <v>39349.422694063935</v>
      </c>
      <c r="E3" s="155">
        <f>'3.1 Détails charges fixes'!D78</f>
        <v>89570.344699872599</v>
      </c>
      <c r="G3" s="155">
        <f>'3.1 Détails charges fixes'!E78</f>
        <v>97253.161236733169</v>
      </c>
      <c r="H3" s="7"/>
    </row>
    <row r="4" spans="1:13" ht="22.5">
      <c r="A4" s="405" t="s">
        <v>107</v>
      </c>
      <c r="B4" s="71"/>
      <c r="C4" s="135"/>
      <c r="E4" s="135"/>
      <c r="G4" s="135"/>
      <c r="H4" s="7"/>
    </row>
    <row r="5" spans="1:13" ht="19.5">
      <c r="A5" s="61" t="s">
        <v>194</v>
      </c>
      <c r="B5" s="54"/>
      <c r="C5" s="155">
        <f>'3,131 int emprunts'!E9+'3,131 int emprunts'!E23+'3,131 int emprunts'!L23</f>
        <v>1640.3831910170261</v>
      </c>
      <c r="E5" s="155">
        <f>'3,131 int emprunts'!E10+'3,131 int emprunts'!E24+'3,131 int emprunts'!L24</f>
        <v>1728.7945185416797</v>
      </c>
      <c r="G5" s="155">
        <f>'3,131 int emprunts'!E11+'3,131 int emprunts'!E25+'3,131 int emprunts'!L25</f>
        <v>1821.9779816811256</v>
      </c>
      <c r="H5" s="7"/>
    </row>
    <row r="6" spans="1:13" ht="24">
      <c r="A6" s="156" t="s">
        <v>108</v>
      </c>
      <c r="B6" s="54"/>
      <c r="C6" s="135"/>
      <c r="E6" s="135"/>
      <c r="G6" s="135"/>
      <c r="H6" s="7"/>
    </row>
    <row r="7" spans="1:13" ht="19.5">
      <c r="A7" s="63" t="s">
        <v>182</v>
      </c>
      <c r="B7" s="71"/>
      <c r="C7" s="155">
        <f>C3+C5</f>
        <v>40989.805885080961</v>
      </c>
      <c r="E7" s="155">
        <f>E3+E5</f>
        <v>91299.139218414275</v>
      </c>
      <c r="G7" s="155">
        <f>G3+G5</f>
        <v>99075.13921841429</v>
      </c>
      <c r="H7" s="7"/>
    </row>
    <row r="8" spans="1:13" ht="19.5">
      <c r="A8" s="71"/>
      <c r="B8" s="54"/>
      <c r="C8" s="154"/>
      <c r="E8" s="154"/>
      <c r="G8" s="154"/>
      <c r="H8" s="7"/>
    </row>
    <row r="9" spans="1:13" ht="19.5">
      <c r="A9" s="61" t="s">
        <v>307</v>
      </c>
      <c r="B9" s="71"/>
      <c r="C9" s="620">
        <v>0.92</v>
      </c>
      <c r="E9" s="620">
        <v>1</v>
      </c>
      <c r="G9" s="620">
        <v>1</v>
      </c>
      <c r="H9" s="262"/>
      <c r="J9" s="449" t="s">
        <v>268</v>
      </c>
      <c r="K9" s="450"/>
      <c r="L9" s="450"/>
      <c r="M9" s="451"/>
    </row>
    <row r="10" spans="1:13" ht="20.25" thickBot="1">
      <c r="A10" s="71"/>
      <c r="B10" s="54"/>
      <c r="C10" s="154"/>
      <c r="E10" s="154"/>
      <c r="G10" s="154"/>
      <c r="H10" s="7"/>
    </row>
    <row r="11" spans="1:13" ht="19.5">
      <c r="A11" s="505" t="s">
        <v>136</v>
      </c>
      <c r="B11" s="54"/>
      <c r="C11" s="232">
        <f>C7/C9</f>
        <v>44554.136831609736</v>
      </c>
      <c r="E11" s="232">
        <f>E7/E9</f>
        <v>91299.139218414275</v>
      </c>
      <c r="G11" s="232">
        <f>G7/G9</f>
        <v>99075.13921841429</v>
      </c>
      <c r="J11" s="476" t="s">
        <v>479</v>
      </c>
      <c r="K11" s="477"/>
      <c r="L11" s="478"/>
    </row>
    <row r="12" spans="1:13" ht="15.75" customHeight="1">
      <c r="A12" s="506"/>
      <c r="B12" s="54"/>
      <c r="C12" s="68"/>
      <c r="E12" s="68"/>
      <c r="G12" s="68"/>
      <c r="H12" s="7"/>
      <c r="J12" s="470"/>
      <c r="K12" s="466"/>
      <c r="L12" s="471"/>
    </row>
    <row r="13" spans="1:13" ht="20.25" thickBot="1">
      <c r="A13" s="71"/>
      <c r="B13" s="54"/>
      <c r="C13" s="154"/>
      <c r="E13" s="154"/>
      <c r="G13" s="154"/>
      <c r="H13" s="7"/>
      <c r="J13" s="472" t="s">
        <v>418</v>
      </c>
      <c r="K13" s="468"/>
      <c r="L13" s="630">
        <v>1</v>
      </c>
    </row>
    <row r="14" spans="1:13" ht="20.25" thickBot="1">
      <c r="A14" s="359" t="s">
        <v>309</v>
      </c>
      <c r="B14" s="299"/>
      <c r="C14" s="358"/>
      <c r="E14" s="402"/>
      <c r="G14" s="402"/>
      <c r="H14" s="7"/>
      <c r="J14" s="472"/>
      <c r="K14" s="468"/>
      <c r="L14" s="471"/>
    </row>
    <row r="15" spans="1:13" ht="15.75" customHeight="1">
      <c r="A15" s="71"/>
      <c r="B15" s="54"/>
      <c r="C15" s="154"/>
      <c r="E15" s="154"/>
      <c r="G15" s="154"/>
      <c r="H15" s="7"/>
      <c r="J15" s="472" t="s">
        <v>419</v>
      </c>
      <c r="K15" s="468"/>
      <c r="L15" s="630">
        <v>0</v>
      </c>
    </row>
    <row r="16" spans="1:13" ht="18.95" customHeight="1">
      <c r="A16" s="621" t="s">
        <v>254</v>
      </c>
      <c r="B16" s="622"/>
      <c r="C16" s="647">
        <f>C11*(100%+L19)</f>
        <v>53286.747650605241</v>
      </c>
      <c r="D16" s="622"/>
      <c r="E16" s="623"/>
      <c r="F16" s="622"/>
      <c r="G16" s="623"/>
      <c r="I16" s="357"/>
      <c r="J16" s="472"/>
      <c r="K16" s="469"/>
      <c r="L16" s="471"/>
    </row>
    <row r="17" spans="1:13" ht="18.95" customHeight="1">
      <c r="A17" s="622"/>
      <c r="B17" s="622"/>
      <c r="C17" s="624"/>
      <c r="D17" s="622"/>
      <c r="E17" s="625"/>
      <c r="F17" s="622"/>
      <c r="G17" s="625"/>
      <c r="I17" s="357"/>
      <c r="J17" s="472" t="s">
        <v>420</v>
      </c>
      <c r="K17" s="468"/>
      <c r="L17" s="631">
        <v>0</v>
      </c>
    </row>
    <row r="18" spans="1:13" ht="18.95" customHeight="1">
      <c r="A18" s="621" t="s">
        <v>276</v>
      </c>
      <c r="B18" s="622"/>
      <c r="C18" s="626"/>
      <c r="D18" s="622"/>
      <c r="E18" s="627"/>
      <c r="F18" s="622"/>
      <c r="G18" s="627"/>
      <c r="I18" s="357"/>
      <c r="J18" s="472"/>
      <c r="K18" s="468"/>
      <c r="L18" s="471"/>
    </row>
    <row r="19" spans="1:13" ht="18.95" customHeight="1" thickBot="1">
      <c r="A19" s="561"/>
      <c r="B19" s="622"/>
      <c r="C19" s="624"/>
      <c r="D19" s="622"/>
      <c r="E19" s="625"/>
      <c r="F19" s="622"/>
      <c r="G19" s="625"/>
      <c r="I19" s="357"/>
      <c r="J19" s="473" t="s">
        <v>421</v>
      </c>
      <c r="K19" s="474"/>
      <c r="L19" s="475">
        <f>(19.6%*L13)+(5.5%*L15)+(0%*L17)</f>
        <v>0.19600000000000001</v>
      </c>
    </row>
    <row r="20" spans="1:13" ht="18.95" customHeight="1">
      <c r="A20" s="621" t="s">
        <v>277</v>
      </c>
      <c r="B20" s="622"/>
      <c r="C20" s="626"/>
      <c r="D20" s="622"/>
      <c r="E20" s="627"/>
      <c r="F20" s="622"/>
      <c r="G20" s="627"/>
      <c r="I20" s="357"/>
    </row>
    <row r="21" spans="1:13" ht="18.95" customHeight="1">
      <c r="A21" s="628"/>
      <c r="B21" s="622"/>
      <c r="C21" s="624"/>
      <c r="D21" s="622"/>
      <c r="E21" s="625"/>
      <c r="F21" s="622"/>
      <c r="G21" s="625"/>
      <c r="I21" s="357"/>
      <c r="J21" s="443" t="s">
        <v>308</v>
      </c>
      <c r="K21" s="444"/>
      <c r="L21" s="444"/>
      <c r="M21" s="445"/>
    </row>
    <row r="22" spans="1:13" ht="18.95" customHeight="1">
      <c r="A22" s="621" t="s">
        <v>278</v>
      </c>
      <c r="B22" s="622"/>
      <c r="C22" s="626"/>
      <c r="D22" s="622"/>
      <c r="E22" s="627"/>
      <c r="F22" s="622"/>
      <c r="G22" s="627"/>
      <c r="I22" s="357"/>
      <c r="J22" s="446" t="s">
        <v>340</v>
      </c>
      <c r="K22" s="447"/>
      <c r="L22" s="447"/>
      <c r="M22" s="448"/>
    </row>
    <row r="23" spans="1:13" ht="18.95" customHeight="1">
      <c r="A23" s="622"/>
      <c r="B23" s="622"/>
      <c r="C23" s="624"/>
      <c r="D23" s="622"/>
      <c r="E23" s="625"/>
      <c r="F23" s="622"/>
      <c r="G23" s="625"/>
      <c r="I23" s="357"/>
    </row>
    <row r="24" spans="1:13" ht="18.95" customHeight="1">
      <c r="A24" s="621" t="s">
        <v>310</v>
      </c>
      <c r="B24" s="622"/>
      <c r="C24" s="629" t="e">
        <f>C16/C18/C20/C22</f>
        <v>#DIV/0!</v>
      </c>
      <c r="D24" s="622"/>
      <c r="E24" s="627"/>
      <c r="F24" s="622"/>
      <c r="G24" s="627"/>
      <c r="I24" s="357"/>
    </row>
    <row r="25" spans="1:13" ht="18.95" customHeight="1"/>
  </sheetData>
  <sheetProtection password="F060" sheet="1" objects="1" scenarios="1"/>
  <mergeCells count="1">
    <mergeCell ref="A1:C1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portrait" horizontalDpi="4294967295" r:id="rId1"/>
  <headerFooter alignWithMargins="0">
    <oddHeader>&amp;A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0" enableFormatConditionsCalculation="0">
    <tabColor indexed="47"/>
  </sheetPr>
  <dimension ref="A1:M26"/>
  <sheetViews>
    <sheetView zoomScale="75" workbookViewId="0">
      <selection activeCell="O10" sqref="O10"/>
    </sheetView>
  </sheetViews>
  <sheetFormatPr baseColWidth="10" defaultRowHeight="12.75"/>
  <cols>
    <col min="1" max="1" width="3.140625" customWidth="1"/>
    <col min="5" max="5" width="17.42578125" customWidth="1"/>
    <col min="6" max="6" width="7" customWidth="1"/>
    <col min="7" max="7" width="5.42578125" customWidth="1"/>
    <col min="9" max="9" width="2.28515625" customWidth="1"/>
    <col min="10" max="10" width="12" style="312" customWidth="1"/>
  </cols>
  <sheetData>
    <row r="1" spans="1:13" ht="23.25" thickBot="1">
      <c r="A1" s="788" t="s">
        <v>273</v>
      </c>
      <c r="B1" s="789"/>
      <c r="C1" s="789"/>
      <c r="D1" s="789"/>
      <c r="E1" s="789"/>
      <c r="F1" s="789"/>
      <c r="G1" s="789"/>
      <c r="H1" s="789"/>
      <c r="I1" s="789"/>
      <c r="J1" s="790"/>
      <c r="K1" s="57"/>
      <c r="L1" s="57"/>
      <c r="M1" s="57"/>
    </row>
    <row r="2" spans="1:13" ht="19.5">
      <c r="A2" s="69"/>
      <c r="B2" s="69"/>
      <c r="C2" s="69"/>
      <c r="D2" s="69"/>
      <c r="E2" s="69"/>
      <c r="F2" s="69"/>
      <c r="G2" s="69"/>
      <c r="H2" s="69"/>
      <c r="I2" s="69"/>
      <c r="J2" s="158"/>
      <c r="K2" s="57"/>
      <c r="L2" s="57"/>
      <c r="M2" s="57"/>
    </row>
    <row r="3" spans="1:13" ht="19.5">
      <c r="A3" s="69"/>
      <c r="B3" s="69"/>
      <c r="C3" s="163" t="s">
        <v>110</v>
      </c>
      <c r="D3" s="164"/>
      <c r="E3" s="164"/>
      <c r="F3" s="69"/>
      <c r="G3" s="69"/>
      <c r="H3" s="69"/>
      <c r="I3" s="69"/>
      <c r="J3" s="158"/>
      <c r="K3" s="57"/>
      <c r="L3" s="57"/>
      <c r="M3" s="57"/>
    </row>
    <row r="4" spans="1:13" ht="19.5">
      <c r="A4" s="69"/>
      <c r="B4" s="69"/>
      <c r="C4" s="163" t="s">
        <v>111</v>
      </c>
      <c r="D4" s="164"/>
      <c r="E4" s="164"/>
      <c r="F4" s="69"/>
      <c r="G4" s="69"/>
      <c r="H4" s="69"/>
      <c r="I4" s="69"/>
      <c r="J4" s="159" t="s">
        <v>274</v>
      </c>
      <c r="K4" s="57"/>
      <c r="L4" s="57"/>
      <c r="M4" s="57"/>
    </row>
    <row r="5" spans="1:13" ht="20.25" thickBot="1">
      <c r="A5" s="69"/>
      <c r="B5" s="69"/>
      <c r="C5" s="69"/>
      <c r="D5" s="69"/>
      <c r="E5" s="69"/>
      <c r="F5" s="69"/>
      <c r="G5" s="69"/>
      <c r="H5" s="69"/>
      <c r="I5" s="69"/>
      <c r="J5" s="159" t="s">
        <v>275</v>
      </c>
      <c r="K5" s="57"/>
      <c r="L5" s="57"/>
      <c r="M5" s="57"/>
    </row>
    <row r="6" spans="1:13" ht="20.25" thickBot="1">
      <c r="A6" s="158" t="s">
        <v>112</v>
      </c>
      <c r="B6" s="307" t="s">
        <v>113</v>
      </c>
      <c r="C6" s="307"/>
      <c r="D6" s="307"/>
      <c r="E6" s="307"/>
      <c r="F6" s="69"/>
      <c r="G6" s="69"/>
      <c r="H6" s="160">
        <v>0</v>
      </c>
      <c r="I6" s="69"/>
      <c r="J6" s="309">
        <f>1-H6</f>
        <v>1</v>
      </c>
      <c r="K6" s="57"/>
      <c r="L6" s="57"/>
      <c r="M6" s="57"/>
    </row>
    <row r="7" spans="1:13" ht="19.5">
      <c r="A7" s="69"/>
      <c r="B7" s="69" t="s">
        <v>114</v>
      </c>
      <c r="C7" s="69"/>
      <c r="D7" s="69"/>
      <c r="E7" s="69"/>
      <c r="F7" s="69"/>
      <c r="G7" s="69"/>
      <c r="H7" s="69"/>
      <c r="I7" s="69"/>
      <c r="J7" s="158"/>
      <c r="K7" s="57"/>
      <c r="L7" s="57"/>
      <c r="M7" s="57"/>
    </row>
    <row r="8" spans="1:13" ht="20.25" thickBot="1">
      <c r="A8" s="69"/>
      <c r="B8" s="69"/>
      <c r="C8" s="159" t="s">
        <v>115</v>
      </c>
      <c r="D8" s="69"/>
      <c r="E8" s="69"/>
      <c r="F8" s="69"/>
      <c r="G8" s="69"/>
      <c r="H8" s="69" t="s">
        <v>0</v>
      </c>
      <c r="I8" s="69"/>
      <c r="J8" s="158"/>
      <c r="K8" s="57"/>
      <c r="L8" s="57"/>
      <c r="M8" s="57"/>
    </row>
    <row r="9" spans="1:13" ht="20.25" thickBot="1">
      <c r="A9" s="158" t="s">
        <v>116</v>
      </c>
      <c r="B9" s="307" t="s">
        <v>117</v>
      </c>
      <c r="C9" s="307"/>
      <c r="D9" s="307"/>
      <c r="E9" s="307"/>
      <c r="F9" s="69" t="s">
        <v>118</v>
      </c>
      <c r="G9" s="69"/>
      <c r="H9" s="161">
        <v>2.5</v>
      </c>
      <c r="I9" s="69"/>
      <c r="J9" s="309">
        <f>1-(1/(H9/1.196))</f>
        <v>0.52160000000000006</v>
      </c>
      <c r="K9" s="57"/>
      <c r="L9" s="57"/>
      <c r="M9" s="57"/>
    </row>
    <row r="10" spans="1:13" ht="20.25" thickBot="1">
      <c r="A10" s="69"/>
      <c r="B10" s="69" t="s">
        <v>119</v>
      </c>
      <c r="C10" s="69"/>
      <c r="D10" s="69"/>
      <c r="E10" s="69"/>
      <c r="F10" s="149"/>
      <c r="G10" s="149"/>
      <c r="H10" s="149" t="s">
        <v>120</v>
      </c>
      <c r="I10" s="69"/>
      <c r="J10" s="158"/>
      <c r="K10" s="57"/>
      <c r="L10" s="57"/>
      <c r="M10" s="57"/>
    </row>
    <row r="11" spans="1:13" ht="20.25" thickBot="1">
      <c r="A11" s="69"/>
      <c r="B11" s="69"/>
      <c r="C11" s="159" t="s">
        <v>0</v>
      </c>
      <c r="D11" s="69"/>
      <c r="E11" s="69"/>
      <c r="F11" s="69" t="s">
        <v>121</v>
      </c>
      <c r="G11" s="69"/>
      <c r="H11" s="162">
        <v>3.5</v>
      </c>
      <c r="I11" s="69"/>
      <c r="J11" s="309">
        <f>1-(1/(H11/1.055))</f>
        <v>0.69857142857142862</v>
      </c>
      <c r="K11" s="57"/>
      <c r="L11" s="57"/>
      <c r="M11" s="57"/>
    </row>
    <row r="12" spans="1:13" ht="20.25" thickBot="1">
      <c r="A12" s="69"/>
      <c r="B12" s="69"/>
      <c r="C12" s="159" t="s">
        <v>115</v>
      </c>
      <c r="D12" s="69"/>
      <c r="E12" s="69"/>
      <c r="F12" s="69"/>
      <c r="G12" s="69"/>
      <c r="H12" s="72"/>
      <c r="I12" s="69"/>
      <c r="J12" s="310"/>
      <c r="K12" s="57"/>
      <c r="L12" s="57"/>
      <c r="M12" s="57"/>
    </row>
    <row r="13" spans="1:13" ht="20.25" thickBot="1">
      <c r="A13" s="158" t="s">
        <v>122</v>
      </c>
      <c r="B13" s="307" t="s">
        <v>123</v>
      </c>
      <c r="C13" s="307"/>
      <c r="D13" s="307"/>
      <c r="E13" s="307"/>
      <c r="F13" s="69"/>
      <c r="G13" s="69"/>
      <c r="H13" s="161">
        <v>2</v>
      </c>
      <c r="I13" s="69"/>
      <c r="J13" s="309">
        <f>1-(1/H13)</f>
        <v>0.5</v>
      </c>
      <c r="K13" s="57"/>
      <c r="L13" s="57"/>
      <c r="M13" s="57"/>
    </row>
    <row r="14" spans="1:13" ht="19.5">
      <c r="A14" s="69"/>
      <c r="B14" s="69" t="s">
        <v>124</v>
      </c>
      <c r="C14" s="69"/>
      <c r="D14" s="69"/>
      <c r="E14" s="69"/>
      <c r="F14" s="69"/>
      <c r="G14" s="69"/>
      <c r="H14" s="69"/>
      <c r="I14" s="69"/>
      <c r="J14" s="158" t="s">
        <v>0</v>
      </c>
      <c r="K14" s="57"/>
      <c r="L14" s="57"/>
      <c r="M14" s="57"/>
    </row>
    <row r="15" spans="1:13" ht="20.25" thickBot="1">
      <c r="A15" s="69"/>
      <c r="B15" s="69"/>
      <c r="C15" s="159" t="s">
        <v>115</v>
      </c>
      <c r="D15" s="69"/>
      <c r="E15" s="69"/>
      <c r="F15" s="69"/>
      <c r="G15" s="69"/>
      <c r="H15" s="69"/>
      <c r="I15" s="69"/>
      <c r="J15" s="158"/>
      <c r="K15" s="57"/>
      <c r="L15" s="57"/>
      <c r="M15" s="57"/>
    </row>
    <row r="16" spans="1:13" ht="20.25" thickBot="1">
      <c r="A16" s="158" t="s">
        <v>125</v>
      </c>
      <c r="B16" s="307" t="s">
        <v>126</v>
      </c>
      <c r="C16" s="307"/>
      <c r="D16" s="307"/>
      <c r="E16" s="308"/>
      <c r="F16" s="69" t="s">
        <v>118</v>
      </c>
      <c r="G16" s="69"/>
      <c r="H16" s="160">
        <v>0</v>
      </c>
      <c r="I16" s="69"/>
      <c r="J16" s="309">
        <f>H16</f>
        <v>0</v>
      </c>
      <c r="K16" s="57"/>
      <c r="L16" s="57"/>
      <c r="M16" s="57"/>
    </row>
    <row r="17" spans="1:13" ht="20.25" thickBot="1">
      <c r="A17" s="69"/>
      <c r="B17" s="69" t="s">
        <v>127</v>
      </c>
      <c r="C17" s="69"/>
      <c r="D17" s="69"/>
      <c r="E17" s="69"/>
      <c r="F17" s="149"/>
      <c r="G17" s="69"/>
      <c r="H17" s="149" t="s">
        <v>120</v>
      </c>
      <c r="I17" s="69"/>
      <c r="J17" s="158"/>
      <c r="K17" s="57"/>
      <c r="L17" s="57"/>
      <c r="M17" s="57"/>
    </row>
    <row r="18" spans="1:13" ht="20.25" thickBot="1">
      <c r="A18" s="69"/>
      <c r="B18" s="69"/>
      <c r="C18" s="159" t="s">
        <v>0</v>
      </c>
      <c r="D18" s="69"/>
      <c r="E18" s="69"/>
      <c r="F18" s="69" t="s">
        <v>121</v>
      </c>
      <c r="G18" s="69"/>
      <c r="H18" s="160">
        <v>0</v>
      </c>
      <c r="I18" s="69"/>
      <c r="J18" s="309">
        <f>H18</f>
        <v>0</v>
      </c>
      <c r="K18" s="57"/>
      <c r="L18" s="57"/>
      <c r="M18" s="57"/>
    </row>
    <row r="19" spans="1:13" ht="20.25" thickBot="1">
      <c r="A19" s="69"/>
      <c r="B19" s="69"/>
      <c r="C19" s="159" t="s">
        <v>115</v>
      </c>
      <c r="D19" s="69"/>
      <c r="E19" s="69"/>
      <c r="F19" s="69"/>
      <c r="G19" s="69"/>
      <c r="H19" s="69"/>
      <c r="I19" s="69"/>
      <c r="J19" s="310"/>
      <c r="K19" s="57"/>
      <c r="L19" s="57"/>
      <c r="M19" s="57"/>
    </row>
    <row r="20" spans="1:13" ht="20.25" thickBot="1">
      <c r="A20" s="158" t="s">
        <v>128</v>
      </c>
      <c r="B20" s="307" t="s">
        <v>129</v>
      </c>
      <c r="C20" s="307"/>
      <c r="D20" s="307"/>
      <c r="E20" s="69"/>
      <c r="F20" s="69"/>
      <c r="G20" s="69"/>
      <c r="H20" s="160">
        <v>0</v>
      </c>
      <c r="I20" s="69"/>
      <c r="J20" s="309">
        <f>H20</f>
        <v>0</v>
      </c>
      <c r="K20" s="57"/>
      <c r="L20" s="57"/>
      <c r="M20" s="57"/>
    </row>
    <row r="21" spans="1:13" ht="19.5">
      <c r="A21" s="69"/>
      <c r="B21" s="69" t="s">
        <v>130</v>
      </c>
      <c r="C21" s="69"/>
      <c r="D21" s="69"/>
      <c r="E21" s="69"/>
      <c r="F21" s="69"/>
      <c r="G21" s="69"/>
      <c r="H21" s="69"/>
      <c r="I21" s="69"/>
      <c r="J21" s="158" t="s">
        <v>0</v>
      </c>
      <c r="K21" s="57"/>
      <c r="L21" s="57"/>
      <c r="M21" s="57"/>
    </row>
    <row r="22" spans="1:13" ht="19.5">
      <c r="A22" s="57"/>
      <c r="B22" s="57"/>
      <c r="C22" s="57"/>
      <c r="D22" s="57"/>
      <c r="E22" s="57"/>
      <c r="F22" s="57"/>
      <c r="G22" s="57"/>
      <c r="H22" s="57"/>
      <c r="I22" s="57"/>
      <c r="J22" s="311"/>
      <c r="K22" s="57"/>
      <c r="L22" s="57"/>
      <c r="M22" s="57"/>
    </row>
    <row r="23" spans="1:13" ht="19.5">
      <c r="A23" s="57"/>
      <c r="B23" s="57"/>
      <c r="C23" s="57"/>
      <c r="D23" s="57"/>
      <c r="E23" s="57"/>
      <c r="F23" s="57"/>
      <c r="G23" s="57"/>
      <c r="H23" s="57"/>
      <c r="I23" s="57"/>
      <c r="J23" s="311"/>
      <c r="K23" s="57"/>
      <c r="L23" s="57"/>
      <c r="M23" s="57"/>
    </row>
    <row r="24" spans="1:13" ht="19.5">
      <c r="A24" s="57"/>
      <c r="B24" s="57"/>
      <c r="C24" s="57"/>
      <c r="D24" s="57"/>
      <c r="E24" s="57"/>
      <c r="F24" s="57"/>
      <c r="G24" s="57"/>
      <c r="H24" s="57"/>
      <c r="I24" s="57"/>
      <c r="J24" s="311"/>
      <c r="K24" s="57"/>
      <c r="L24" s="57"/>
      <c r="M24" s="57"/>
    </row>
    <row r="25" spans="1:13" ht="19.5">
      <c r="A25" s="57"/>
      <c r="B25" s="57"/>
      <c r="C25" s="57"/>
      <c r="D25" s="57"/>
      <c r="E25" s="57"/>
      <c r="F25" s="57"/>
      <c r="G25" s="57"/>
      <c r="H25" s="57"/>
      <c r="I25" s="57"/>
      <c r="J25" s="311"/>
      <c r="K25" s="57"/>
      <c r="L25" s="57"/>
      <c r="M25" s="57"/>
    </row>
    <row r="26" spans="1:13" ht="19.5">
      <c r="A26" s="57"/>
      <c r="B26" s="57"/>
      <c r="C26" s="57"/>
      <c r="D26" s="57"/>
      <c r="E26" s="57"/>
      <c r="F26" s="57"/>
      <c r="G26" s="57"/>
      <c r="H26" s="57"/>
      <c r="I26" s="57"/>
      <c r="J26" s="311"/>
      <c r="K26" s="57"/>
      <c r="L26" s="57"/>
      <c r="M26" s="57"/>
    </row>
  </sheetData>
  <mergeCells count="1">
    <mergeCell ref="A1:J1"/>
  </mergeCells>
  <phoneticPr fontId="0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portrait" horizontalDpi="4294967292"/>
  <headerFooter alignWithMargins="0">
    <oddHeader>&amp;R3,5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21" enableFormatConditionsCalculation="0">
    <tabColor indexed="47"/>
  </sheetPr>
  <dimension ref="A1:J33"/>
  <sheetViews>
    <sheetView topLeftCell="A4" zoomScale="75" workbookViewId="0">
      <selection activeCell="A7" sqref="A7"/>
    </sheetView>
  </sheetViews>
  <sheetFormatPr baseColWidth="10" defaultRowHeight="16.5"/>
  <cols>
    <col min="1" max="1" width="43.7109375" style="78" customWidth="1"/>
    <col min="2" max="2" width="8" style="78" customWidth="1"/>
    <col min="3" max="5" width="10.85546875" style="78"/>
  </cols>
  <sheetData>
    <row r="1" spans="1:10" ht="23.25" thickBot="1">
      <c r="A1" s="313" t="s">
        <v>415</v>
      </c>
      <c r="B1" s="287"/>
      <c r="C1" s="287"/>
      <c r="D1" s="287"/>
      <c r="E1" s="288"/>
    </row>
    <row r="2" spans="1:10">
      <c r="F2" s="2"/>
      <c r="G2" s="2"/>
      <c r="H2" s="2"/>
      <c r="I2" s="2"/>
    </row>
    <row r="3" spans="1:10" ht="18">
      <c r="A3"/>
      <c r="B3" s="437" t="s">
        <v>450</v>
      </c>
      <c r="C3" s="438"/>
      <c r="D3" s="439"/>
      <c r="E3" s="423"/>
      <c r="F3" s="503"/>
      <c r="G3" s="423"/>
      <c r="H3" s="423"/>
      <c r="I3" s="423"/>
      <c r="J3" s="2"/>
    </row>
    <row r="4" spans="1:10" ht="18">
      <c r="A4"/>
      <c r="B4" s="440" t="s">
        <v>412</v>
      </c>
      <c r="C4" s="441"/>
      <c r="D4" s="442"/>
      <c r="E4" s="423"/>
      <c r="F4" s="503"/>
      <c r="G4" s="504"/>
      <c r="H4" s="423"/>
      <c r="I4" s="423"/>
    </row>
    <row r="5" spans="1:10">
      <c r="A5"/>
      <c r="B5"/>
      <c r="C5"/>
      <c r="F5" s="357" t="s">
        <v>411</v>
      </c>
    </row>
    <row r="6" spans="1:10" ht="18">
      <c r="A6" s="353" t="s">
        <v>451</v>
      </c>
      <c r="B6" s="292"/>
      <c r="C6" s="354" t="s">
        <v>49</v>
      </c>
      <c r="D6" s="355" t="s">
        <v>65</v>
      </c>
      <c r="E6" s="354" t="s">
        <v>51</v>
      </c>
    </row>
    <row r="7" spans="1:10">
      <c r="A7" s="637" t="s">
        <v>543</v>
      </c>
      <c r="B7" s="638"/>
      <c r="C7" s="639">
        <v>30</v>
      </c>
      <c r="D7" s="639">
        <v>1E-3</v>
      </c>
      <c r="E7" s="640">
        <v>1E-3</v>
      </c>
    </row>
    <row r="8" spans="1:10">
      <c r="A8" s="555" t="s">
        <v>542</v>
      </c>
      <c r="B8" s="600"/>
      <c r="C8" s="639">
        <v>70</v>
      </c>
      <c r="D8" s="639"/>
      <c r="E8" s="641"/>
    </row>
    <row r="9" spans="1:10">
      <c r="A9" s="555"/>
      <c r="B9" s="600"/>
      <c r="C9" s="639"/>
      <c r="D9" s="639"/>
      <c r="E9" s="641"/>
    </row>
    <row r="10" spans="1:10">
      <c r="A10" s="555"/>
      <c r="B10" s="600"/>
      <c r="C10" s="639"/>
      <c r="D10" s="639"/>
      <c r="E10" s="641"/>
    </row>
    <row r="11" spans="1:10">
      <c r="A11" s="602" t="s">
        <v>0</v>
      </c>
      <c r="B11" s="603"/>
      <c r="C11" s="639"/>
      <c r="D11" s="639"/>
      <c r="E11" s="641"/>
    </row>
    <row r="12" spans="1:10">
      <c r="A12" s="602" t="s">
        <v>0</v>
      </c>
      <c r="B12" s="603"/>
      <c r="C12" s="639"/>
      <c r="D12" s="639"/>
      <c r="E12" s="641"/>
    </row>
    <row r="13" spans="1:10">
      <c r="A13" s="555" t="s">
        <v>0</v>
      </c>
      <c r="B13" s="600"/>
      <c r="C13" s="639"/>
      <c r="D13" s="639"/>
      <c r="E13" s="641"/>
    </row>
    <row r="14" spans="1:10">
      <c r="A14" s="642" t="s">
        <v>0</v>
      </c>
      <c r="B14" s="643"/>
      <c r="C14" s="639"/>
      <c r="D14" s="639"/>
      <c r="E14" s="644"/>
    </row>
    <row r="15" spans="1:10" ht="18">
      <c r="A15" s="326" t="s">
        <v>263</v>
      </c>
      <c r="B15" s="239"/>
      <c r="C15" s="294">
        <f>SUM(C7:C14)</f>
        <v>100</v>
      </c>
      <c r="D15" s="294">
        <f>SUM(D7:D14)</f>
        <v>1E-3</v>
      </c>
      <c r="E15" s="294">
        <f>SUM(E7:E14)</f>
        <v>1E-3</v>
      </c>
    </row>
    <row r="16" spans="1:10">
      <c r="A16" s="283"/>
      <c r="B16" s="283"/>
      <c r="C16" s="284"/>
      <c r="D16" s="284"/>
      <c r="E16" s="284"/>
      <c r="F16" s="306"/>
      <c r="G16" s="306"/>
      <c r="H16" s="306"/>
      <c r="I16" s="306"/>
    </row>
    <row r="17" spans="1:10" ht="18">
      <c r="A17"/>
      <c r="B17" s="283"/>
      <c r="C17" s="284"/>
      <c r="D17" s="284"/>
      <c r="E17" s="284"/>
      <c r="F17" s="356" t="s">
        <v>447</v>
      </c>
      <c r="G17" s="401"/>
      <c r="H17" s="401"/>
      <c r="I17" s="401"/>
      <c r="J17" s="481"/>
    </row>
    <row r="18" spans="1:10">
      <c r="G18" s="357" t="s">
        <v>362</v>
      </c>
    </row>
    <row r="20" spans="1:10" ht="18">
      <c r="A20" s="291" t="s">
        <v>262</v>
      </c>
      <c r="B20" s="292"/>
      <c r="C20" s="354" t="s">
        <v>49</v>
      </c>
      <c r="D20" s="355" t="s">
        <v>65</v>
      </c>
      <c r="E20" s="354" t="s">
        <v>51</v>
      </c>
      <c r="F20" s="357"/>
      <c r="G20" s="502" t="s">
        <v>446</v>
      </c>
    </row>
    <row r="21" spans="1:10">
      <c r="A21" s="637" t="s">
        <v>445</v>
      </c>
      <c r="B21" s="645">
        <v>0.2</v>
      </c>
      <c r="C21" s="101">
        <f>C7*$B$21</f>
        <v>6</v>
      </c>
      <c r="D21" s="101">
        <f>D7*$B$21</f>
        <v>2.0000000000000001E-4</v>
      </c>
      <c r="E21" s="101">
        <f>E7*$B$21</f>
        <v>2.0000000000000001E-4</v>
      </c>
      <c r="G21" s="327" t="s">
        <v>448</v>
      </c>
    </row>
    <row r="22" spans="1:10">
      <c r="A22" s="555" t="s">
        <v>445</v>
      </c>
      <c r="B22" s="646">
        <v>0.02</v>
      </c>
      <c r="C22" s="100">
        <f>C8*$B$22</f>
        <v>1.4000000000000001</v>
      </c>
      <c r="D22" s="100">
        <f>D8*$B$22</f>
        <v>0</v>
      </c>
      <c r="E22" s="100">
        <f>E8*$B$22</f>
        <v>0</v>
      </c>
      <c r="G22" s="327" t="s">
        <v>449</v>
      </c>
    </row>
    <row r="23" spans="1:10">
      <c r="A23" s="555" t="s">
        <v>445</v>
      </c>
      <c r="B23" s="646">
        <v>1.0000000000000001E-5</v>
      </c>
      <c r="C23" s="100">
        <f>C9*$B$23</f>
        <v>0</v>
      </c>
      <c r="D23" s="100">
        <f>D9*$B$23</f>
        <v>0</v>
      </c>
      <c r="E23" s="100">
        <f>E9*$B$23</f>
        <v>0</v>
      </c>
      <c r="F23" s="27"/>
    </row>
    <row r="24" spans="1:10">
      <c r="A24" s="602" t="s">
        <v>445</v>
      </c>
      <c r="B24" s="646">
        <v>1.0000000000000001E-5</v>
      </c>
      <c r="C24" s="100">
        <f>C10*$B$24</f>
        <v>0</v>
      </c>
      <c r="D24" s="100">
        <f>D10*$B$24</f>
        <v>0</v>
      </c>
      <c r="E24" s="100">
        <f>E10*$B$24</f>
        <v>0</v>
      </c>
      <c r="F24" s="27"/>
      <c r="G24" s="428" t="s">
        <v>408</v>
      </c>
      <c r="H24" s="429"/>
      <c r="I24" s="429"/>
      <c r="J24" s="430"/>
    </row>
    <row r="25" spans="1:10">
      <c r="A25" s="84"/>
      <c r="B25" s="289">
        <v>0</v>
      </c>
      <c r="C25" s="97"/>
      <c r="D25" s="97"/>
      <c r="E25" s="97"/>
      <c r="F25" s="27"/>
      <c r="G25" s="431" t="s">
        <v>409</v>
      </c>
      <c r="H25" s="432"/>
      <c r="I25" s="432"/>
      <c r="J25" s="433"/>
    </row>
    <row r="26" spans="1:10">
      <c r="A26" s="84" t="s">
        <v>282</v>
      </c>
      <c r="B26" s="289">
        <v>0</v>
      </c>
      <c r="C26" s="97"/>
      <c r="D26" s="97"/>
      <c r="E26" s="97"/>
      <c r="F26" s="27"/>
      <c r="G26" s="434" t="s">
        <v>410</v>
      </c>
      <c r="H26" s="435"/>
      <c r="I26" s="435"/>
      <c r="J26" s="436"/>
    </row>
    <row r="27" spans="1:10">
      <c r="A27" s="285" t="s">
        <v>0</v>
      </c>
      <c r="B27" s="290">
        <v>0</v>
      </c>
      <c r="C27" s="286"/>
      <c r="D27" s="286"/>
      <c r="E27" s="286"/>
      <c r="F27" s="27"/>
    </row>
    <row r="28" spans="1:10" ht="18">
      <c r="A28" s="295" t="s">
        <v>264</v>
      </c>
      <c r="B28" s="296"/>
      <c r="C28" s="297">
        <f>SUM(C21:C27)</f>
        <v>7.4</v>
      </c>
      <c r="D28" s="297">
        <f>SUM(D21:D27)</f>
        <v>2.0000000000000001E-4</v>
      </c>
      <c r="E28" s="297">
        <f>SUM(E21:E27)</f>
        <v>2.0000000000000001E-4</v>
      </c>
    </row>
    <row r="31" spans="1:10" ht="18">
      <c r="A31" s="295" t="s">
        <v>265</v>
      </c>
      <c r="B31" s="296"/>
      <c r="C31" s="297">
        <f>C15-C28</f>
        <v>92.6</v>
      </c>
      <c r="D31" s="297">
        <f>D15-D28</f>
        <v>8.0000000000000004E-4</v>
      </c>
      <c r="E31" s="297">
        <f>E15-E28</f>
        <v>8.0000000000000004E-4</v>
      </c>
    </row>
    <row r="33" spans="1:5" ht="18">
      <c r="A33" s="291" t="s">
        <v>266</v>
      </c>
      <c r="B33" s="292"/>
      <c r="C33" s="293">
        <f>C31/C15</f>
        <v>0.92599999999999993</v>
      </c>
      <c r="D33" s="293">
        <f>D31/D15</f>
        <v>0.8</v>
      </c>
      <c r="E33" s="293">
        <f>E31/E15</f>
        <v>0.8</v>
      </c>
    </row>
  </sheetData>
  <phoneticPr fontId="0" type="noConversion"/>
  <pageMargins left="0.19685039370078741" right="0" top="0.39370078740157483" bottom="0.19685039370078741" header="0.11811023622047245" footer="0.11811023622047245"/>
  <pageSetup paperSize="9" orientation="portrait" horizontalDpi="4294967295"/>
  <headerFooter alignWithMargins="0">
    <oddHeader>&amp;R3,51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20"/>
  </sheetPr>
  <dimension ref="A1:U197"/>
  <sheetViews>
    <sheetView zoomScale="82" zoomScaleNormal="82" zoomScalePageLayoutView="6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Q9" sqref="Q9"/>
    </sheetView>
  </sheetViews>
  <sheetFormatPr baseColWidth="10" defaultColWidth="10.85546875" defaultRowHeight="15"/>
  <cols>
    <col min="1" max="1" width="14.28515625" style="28" customWidth="1"/>
    <col min="2" max="2" width="19.85546875" style="28" customWidth="1"/>
    <col min="3" max="3" width="11.85546875" style="28" customWidth="1"/>
    <col min="4" max="4" width="11.7109375" style="42" customWidth="1"/>
    <col min="5" max="5" width="10.85546875" style="495" customWidth="1"/>
    <col min="6" max="15" width="10.85546875" style="42" customWidth="1"/>
    <col min="16" max="16" width="10.85546875" style="69" customWidth="1"/>
    <col min="17" max="16384" width="10.85546875" style="28"/>
  </cols>
  <sheetData>
    <row r="1" spans="1:21" ht="25.5" thickBot="1">
      <c r="A1" s="792" t="s">
        <v>213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281"/>
    </row>
    <row r="2" spans="1:21" ht="19.5">
      <c r="A2" s="167"/>
      <c r="B2" s="168"/>
      <c r="C2" s="168"/>
      <c r="D2" s="120"/>
      <c r="E2" s="482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21">
      <c r="A3" s="69"/>
      <c r="B3" s="69"/>
      <c r="C3" s="69"/>
      <c r="D3" s="169"/>
      <c r="E3" s="483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1" ht="18" customHeight="1">
      <c r="A4" s="158" t="s">
        <v>461</v>
      </c>
      <c r="B4" s="158"/>
      <c r="C4" s="69" t="s">
        <v>0</v>
      </c>
      <c r="D4" s="277" t="s">
        <v>252</v>
      </c>
      <c r="E4" s="701">
        <v>41061</v>
      </c>
      <c r="F4" s="701">
        <v>41091</v>
      </c>
      <c r="G4" s="701">
        <v>41122</v>
      </c>
      <c r="H4" s="701">
        <v>41153</v>
      </c>
      <c r="I4" s="701">
        <v>41183</v>
      </c>
      <c r="J4" s="701">
        <v>41214</v>
      </c>
      <c r="K4" s="701">
        <v>41244</v>
      </c>
      <c r="L4" s="701">
        <v>41275</v>
      </c>
      <c r="M4" s="701">
        <v>41306</v>
      </c>
      <c r="N4" s="701">
        <v>41334</v>
      </c>
      <c r="O4" s="701">
        <v>41365</v>
      </c>
      <c r="P4" s="701">
        <v>41395</v>
      </c>
    </row>
    <row r="5" spans="1:21" ht="18">
      <c r="A5" s="460" t="s">
        <v>131</v>
      </c>
      <c r="B5" s="170"/>
      <c r="C5" s="170"/>
      <c r="D5" s="171"/>
      <c r="E5" s="484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21" ht="16.5">
      <c r="A6" s="158" t="s">
        <v>272</v>
      </c>
      <c r="B6" s="69"/>
      <c r="C6" s="69"/>
      <c r="D6" s="172">
        <f>'1.0 Plan de financement'!I6</f>
        <v>6000</v>
      </c>
      <c r="E6" s="632"/>
      <c r="F6" s="633"/>
      <c r="G6" s="633"/>
      <c r="H6" s="633"/>
      <c r="I6" s="633"/>
      <c r="J6" s="633"/>
      <c r="K6" s="633"/>
      <c r="L6" s="633"/>
      <c r="M6" s="633"/>
      <c r="N6" s="633"/>
      <c r="O6" s="633"/>
      <c r="P6" s="633"/>
    </row>
    <row r="7" spans="1:21" ht="16.5">
      <c r="A7" s="158" t="s">
        <v>195</v>
      </c>
      <c r="B7" s="158"/>
      <c r="C7" s="69"/>
      <c r="D7" s="172">
        <f>'1.0 Plan de financement'!I9</f>
        <v>0</v>
      </c>
      <c r="E7" s="632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33"/>
    </row>
    <row r="8" spans="1:21" ht="16.5">
      <c r="A8" s="158" t="s">
        <v>363</v>
      </c>
      <c r="B8" s="158"/>
      <c r="C8" s="69"/>
      <c r="D8" s="172">
        <f>'1.0 Plan de financement'!I8+'1.0 Plan de financement'!I13+'1.0 Plan de financement'!I14+'1.0 Plan de financement'!I15+'1.0 Plan de financement'!I16+'1.0 Plan de financement'!I25</f>
        <v>6650.1095890410961</v>
      </c>
      <c r="E8" s="634"/>
      <c r="F8" s="633"/>
      <c r="G8" s="635"/>
      <c r="H8" s="633"/>
      <c r="I8" s="633"/>
      <c r="J8" s="633"/>
      <c r="K8" s="633"/>
      <c r="L8" s="633"/>
      <c r="M8" s="633"/>
      <c r="N8" s="633"/>
      <c r="O8" s="633"/>
      <c r="P8" s="633"/>
    </row>
    <row r="9" spans="1:21" ht="16.5">
      <c r="A9" s="158" t="s">
        <v>312</v>
      </c>
      <c r="B9" s="158"/>
      <c r="C9" s="69"/>
      <c r="D9" s="361"/>
      <c r="E9" s="632">
        <f>19000*1.196*0.4</f>
        <v>9089.6</v>
      </c>
      <c r="F9" s="633"/>
      <c r="G9" s="633"/>
      <c r="H9" s="633"/>
      <c r="I9" s="633"/>
      <c r="J9" s="633"/>
      <c r="K9" s="633"/>
      <c r="L9" s="633"/>
      <c r="M9" s="633"/>
      <c r="N9" s="633"/>
      <c r="O9" s="633"/>
      <c r="P9" s="633"/>
      <c r="Q9" s="799"/>
    </row>
    <row r="10" spans="1:21" ht="16.5">
      <c r="A10" s="158" t="s">
        <v>413</v>
      </c>
      <c r="B10" s="158"/>
      <c r="C10" s="69"/>
      <c r="D10" s="269"/>
      <c r="E10" s="486"/>
      <c r="F10" s="633"/>
      <c r="G10" s="633"/>
      <c r="H10" s="633">
        <v>6817</v>
      </c>
      <c r="I10" s="633"/>
      <c r="J10" s="633"/>
      <c r="K10" s="633">
        <v>6817</v>
      </c>
      <c r="L10" s="633"/>
      <c r="M10" s="633"/>
      <c r="N10" s="633"/>
      <c r="O10" s="633"/>
      <c r="P10" s="633"/>
    </row>
    <row r="11" spans="1:21" ht="16.5">
      <c r="A11" s="158" t="s">
        <v>414</v>
      </c>
      <c r="B11" s="158"/>
      <c r="C11" s="69"/>
      <c r="D11" s="275"/>
      <c r="E11" s="487"/>
      <c r="F11" s="275"/>
      <c r="G11" s="635"/>
      <c r="H11" s="635"/>
      <c r="I11" s="635"/>
      <c r="J11" s="635"/>
      <c r="K11" s="635"/>
      <c r="L11" s="635"/>
      <c r="M11" s="635"/>
      <c r="N11" s="635"/>
      <c r="O11" s="635"/>
      <c r="P11" s="635"/>
    </row>
    <row r="12" spans="1:21" s="29" customFormat="1" ht="18" customHeight="1">
      <c r="A12" s="794" t="s">
        <v>132</v>
      </c>
      <c r="B12" s="794"/>
      <c r="C12" s="243"/>
      <c r="D12" s="174">
        <f>SUM(D5:D11)</f>
        <v>12650.109589041096</v>
      </c>
      <c r="E12" s="488">
        <f t="shared" ref="E12:P12" si="0">SUM(E5:E11)</f>
        <v>9089.6</v>
      </c>
      <c r="F12" s="174">
        <f t="shared" si="0"/>
        <v>0</v>
      </c>
      <c r="G12" s="174">
        <f t="shared" si="0"/>
        <v>0</v>
      </c>
      <c r="H12" s="174">
        <f t="shared" si="0"/>
        <v>6817</v>
      </c>
      <c r="I12" s="174">
        <f t="shared" si="0"/>
        <v>0</v>
      </c>
      <c r="J12" s="174">
        <f t="shared" si="0"/>
        <v>0</v>
      </c>
      <c r="K12" s="174">
        <f t="shared" si="0"/>
        <v>6817</v>
      </c>
      <c r="L12" s="174">
        <f t="shared" si="0"/>
        <v>0</v>
      </c>
      <c r="M12" s="174">
        <f t="shared" si="0"/>
        <v>0</v>
      </c>
      <c r="N12" s="174">
        <f t="shared" si="0"/>
        <v>0</v>
      </c>
      <c r="O12" s="174">
        <f t="shared" si="0"/>
        <v>0</v>
      </c>
      <c r="P12" s="174">
        <f t="shared" si="0"/>
        <v>0</v>
      </c>
    </row>
    <row r="13" spans="1:21" s="32" customFormat="1" ht="18" customHeight="1">
      <c r="A13" s="175"/>
      <c r="B13" s="175"/>
      <c r="C13" s="266" t="s">
        <v>334</v>
      </c>
      <c r="D13" s="176"/>
      <c r="E13" s="489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</row>
    <row r="14" spans="1:21" ht="18">
      <c r="A14" s="461" t="s">
        <v>133</v>
      </c>
      <c r="B14" s="177"/>
      <c r="C14" s="453" t="s">
        <v>311</v>
      </c>
      <c r="D14" s="373"/>
      <c r="E14" s="490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U14" s="28">
        <f>19000*1.196</f>
        <v>22724</v>
      </c>
    </row>
    <row r="15" spans="1:21" ht="16.5">
      <c r="A15" s="178" t="s">
        <v>422</v>
      </c>
      <c r="B15" s="179"/>
      <c r="C15" s="278">
        <f>'3.0 Compte de résultat'!C11</f>
        <v>0.08</v>
      </c>
      <c r="D15" s="276"/>
      <c r="E15" s="267">
        <f>E12*$C$15</f>
        <v>727.16800000000001</v>
      </c>
      <c r="F15" s="267">
        <f t="shared" ref="F15:P15" si="1">F12*$C$15</f>
        <v>0</v>
      </c>
      <c r="G15" s="267">
        <f t="shared" si="1"/>
        <v>0</v>
      </c>
      <c r="H15" s="267">
        <f t="shared" si="1"/>
        <v>545.36</v>
      </c>
      <c r="I15" s="267">
        <f t="shared" si="1"/>
        <v>0</v>
      </c>
      <c r="J15" s="267">
        <f t="shared" si="1"/>
        <v>0</v>
      </c>
      <c r="K15" s="267">
        <f t="shared" si="1"/>
        <v>545.36</v>
      </c>
      <c r="L15" s="267">
        <f t="shared" si="1"/>
        <v>0</v>
      </c>
      <c r="M15" s="267">
        <f t="shared" si="1"/>
        <v>0</v>
      </c>
      <c r="N15" s="267">
        <f t="shared" si="1"/>
        <v>0</v>
      </c>
      <c r="O15" s="267">
        <f t="shared" si="1"/>
        <v>0</v>
      </c>
      <c r="P15" s="267">
        <f t="shared" si="1"/>
        <v>0</v>
      </c>
      <c r="U15" s="28">
        <f>U14*0.4</f>
        <v>9089.6</v>
      </c>
    </row>
    <row r="16" spans="1:21" ht="16.5">
      <c r="A16" s="186" t="s">
        <v>196</v>
      </c>
      <c r="B16" s="181"/>
      <c r="C16" s="279">
        <f>'3.1 Détails charges fixes'!C5*1.055</f>
        <v>0</v>
      </c>
      <c r="D16" s="636"/>
      <c r="E16" s="636"/>
      <c r="F16" s="636"/>
      <c r="G16" s="636"/>
      <c r="H16" s="636"/>
      <c r="I16" s="636"/>
      <c r="J16" s="636"/>
      <c r="K16" s="636"/>
      <c r="L16" s="636"/>
      <c r="M16" s="636"/>
      <c r="N16" s="636"/>
      <c r="O16" s="636"/>
      <c r="P16" s="636"/>
      <c r="U16" s="28">
        <f>U14*0.3</f>
        <v>6817.2</v>
      </c>
    </row>
    <row r="17" spans="1:16" ht="16.5">
      <c r="A17" s="186" t="s">
        <v>452</v>
      </c>
      <c r="B17" s="181"/>
      <c r="C17" s="279">
        <f>'3.1 Détails charges fixes'!C6</f>
        <v>0</v>
      </c>
      <c r="D17" s="636"/>
      <c r="E17" s="636">
        <f t="shared" ref="E17:P17" si="2">carburant/12</f>
        <v>0</v>
      </c>
      <c r="F17" s="636">
        <f t="shared" si="2"/>
        <v>0</v>
      </c>
      <c r="G17" s="636">
        <f t="shared" si="2"/>
        <v>0</v>
      </c>
      <c r="H17" s="636">
        <f t="shared" si="2"/>
        <v>0</v>
      </c>
      <c r="I17" s="636">
        <f t="shared" si="2"/>
        <v>0</v>
      </c>
      <c r="J17" s="636">
        <f t="shared" si="2"/>
        <v>0</v>
      </c>
      <c r="K17" s="636">
        <f t="shared" si="2"/>
        <v>0</v>
      </c>
      <c r="L17" s="636">
        <f t="shared" si="2"/>
        <v>0</v>
      </c>
      <c r="M17" s="636">
        <f t="shared" si="2"/>
        <v>0</v>
      </c>
      <c r="N17" s="636">
        <f t="shared" si="2"/>
        <v>0</v>
      </c>
      <c r="O17" s="636">
        <f t="shared" si="2"/>
        <v>0</v>
      </c>
      <c r="P17" s="636">
        <f t="shared" si="2"/>
        <v>0</v>
      </c>
    </row>
    <row r="18" spans="1:16" ht="16.5">
      <c r="A18" s="186" t="s">
        <v>453</v>
      </c>
      <c r="B18" s="181"/>
      <c r="C18" s="279">
        <f>'3.1 Détails charges fixes'!C7*1.196</f>
        <v>0</v>
      </c>
      <c r="D18" s="636"/>
      <c r="E18" s="636"/>
      <c r="F18" s="636"/>
      <c r="G18" s="636"/>
      <c r="H18" s="636"/>
      <c r="I18" s="636"/>
      <c r="J18" s="636"/>
      <c r="K18" s="636"/>
      <c r="L18" s="636"/>
      <c r="M18" s="636"/>
      <c r="N18" s="636"/>
      <c r="O18" s="636"/>
      <c r="P18" s="636"/>
    </row>
    <row r="19" spans="1:16" ht="16.5">
      <c r="A19" s="186" t="s">
        <v>197</v>
      </c>
      <c r="B19" s="181"/>
      <c r="C19" s="279">
        <f>'3.1 Détails charges fixes'!C8*1.196</f>
        <v>11.959999999999999</v>
      </c>
      <c r="D19" s="636"/>
      <c r="E19" s="636">
        <f>prodent</f>
        <v>11.959999999999999</v>
      </c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</row>
    <row r="20" spans="1:16" ht="16.5">
      <c r="A20" s="186" t="s">
        <v>198</v>
      </c>
      <c r="B20" s="181"/>
      <c r="C20" s="279">
        <f>'3.1 Détails charges fixes'!C9*1.196</f>
        <v>0</v>
      </c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</row>
    <row r="21" spans="1:16" ht="16.5">
      <c r="A21" s="186" t="s">
        <v>199</v>
      </c>
      <c r="B21" s="181"/>
      <c r="C21" s="279">
        <f>'3.1 Détails charges fixes'!C10*1.196</f>
        <v>239.2</v>
      </c>
      <c r="D21" s="636"/>
      <c r="E21" s="636">
        <f t="shared" ref="E21:P21" si="3">fournbur/12</f>
        <v>19.933333333333334</v>
      </c>
      <c r="F21" s="636">
        <f t="shared" si="3"/>
        <v>19.933333333333334</v>
      </c>
      <c r="G21" s="636">
        <f t="shared" si="3"/>
        <v>19.933333333333334</v>
      </c>
      <c r="H21" s="636">
        <f t="shared" si="3"/>
        <v>19.933333333333334</v>
      </c>
      <c r="I21" s="636">
        <f t="shared" si="3"/>
        <v>19.933333333333334</v>
      </c>
      <c r="J21" s="636">
        <f t="shared" si="3"/>
        <v>19.933333333333334</v>
      </c>
      <c r="K21" s="636">
        <f t="shared" si="3"/>
        <v>19.933333333333334</v>
      </c>
      <c r="L21" s="636">
        <f t="shared" si="3"/>
        <v>19.933333333333334</v>
      </c>
      <c r="M21" s="636">
        <f t="shared" si="3"/>
        <v>19.933333333333334</v>
      </c>
      <c r="N21" s="636">
        <f t="shared" si="3"/>
        <v>19.933333333333334</v>
      </c>
      <c r="O21" s="636">
        <f t="shared" si="3"/>
        <v>19.933333333333334</v>
      </c>
      <c r="P21" s="636">
        <f t="shared" si="3"/>
        <v>19.933333333333334</v>
      </c>
    </row>
    <row r="22" spans="1:16" ht="16.5">
      <c r="A22" s="84" t="str">
        <f>'3.1 Détails charges fixes'!A11</f>
        <v xml:space="preserve">           . Téléphone mobile</v>
      </c>
      <c r="B22" s="181"/>
      <c r="C22" s="279">
        <f>'3.1 Détails charges fixes'!C11*1.196</f>
        <v>550.16</v>
      </c>
      <c r="D22" s="636"/>
      <c r="E22" s="636">
        <v>550</v>
      </c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</row>
    <row r="23" spans="1:16" ht="16.5">
      <c r="A23" s="186" t="s">
        <v>455</v>
      </c>
      <c r="B23" s="181"/>
      <c r="C23" s="279">
        <f>'3.1 Détails charges fixes'!C14*1.196</f>
        <v>0</v>
      </c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</row>
    <row r="24" spans="1:16" ht="16.5">
      <c r="A24" s="186" t="s">
        <v>456</v>
      </c>
      <c r="B24" s="181"/>
      <c r="C24" s="279">
        <f>'3.1 Détails charges fixes'!C15*1.196</f>
        <v>0</v>
      </c>
      <c r="D24" s="636"/>
      <c r="E24" s="636"/>
      <c r="F24" s="636"/>
      <c r="G24" s="636"/>
      <c r="H24" s="636"/>
      <c r="I24" s="636"/>
      <c r="J24" s="636"/>
      <c r="K24" s="636"/>
      <c r="L24" s="636"/>
      <c r="M24" s="636"/>
      <c r="N24" s="636"/>
      <c r="O24" s="636"/>
      <c r="P24" s="636"/>
    </row>
    <row r="25" spans="1:16" ht="16.5">
      <c r="A25" s="186" t="s">
        <v>200</v>
      </c>
      <c r="B25" s="181"/>
      <c r="C25" s="279">
        <f>'3.1 Détails charges fixes'!C16</f>
        <v>3000</v>
      </c>
      <c r="D25" s="636"/>
      <c r="E25" s="636">
        <f t="shared" ref="E25:P25" si="4">loyer/12</f>
        <v>250</v>
      </c>
      <c r="F25" s="636">
        <f t="shared" si="4"/>
        <v>250</v>
      </c>
      <c r="G25" s="636">
        <f t="shared" si="4"/>
        <v>250</v>
      </c>
      <c r="H25" s="636">
        <f t="shared" si="4"/>
        <v>250</v>
      </c>
      <c r="I25" s="636">
        <f t="shared" si="4"/>
        <v>250</v>
      </c>
      <c r="J25" s="636">
        <f t="shared" si="4"/>
        <v>250</v>
      </c>
      <c r="K25" s="636">
        <f t="shared" si="4"/>
        <v>250</v>
      </c>
      <c r="L25" s="636">
        <f t="shared" si="4"/>
        <v>250</v>
      </c>
      <c r="M25" s="636">
        <f t="shared" si="4"/>
        <v>250</v>
      </c>
      <c r="N25" s="636">
        <f t="shared" si="4"/>
        <v>250</v>
      </c>
      <c r="O25" s="636">
        <f t="shared" si="4"/>
        <v>250</v>
      </c>
      <c r="P25" s="636">
        <f t="shared" si="4"/>
        <v>250</v>
      </c>
    </row>
    <row r="26" spans="1:16" ht="16.5">
      <c r="A26" s="186" t="s">
        <v>457</v>
      </c>
      <c r="B26" s="181"/>
      <c r="C26" s="279">
        <f>'3.1 Détails charges fixes'!C17*1.196</f>
        <v>0</v>
      </c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</row>
    <row r="27" spans="1:16" ht="16.5">
      <c r="A27" s="186" t="s">
        <v>458</v>
      </c>
      <c r="B27" s="181"/>
      <c r="C27" s="279">
        <f>'3.1 Détails charges fixes'!C18*1.196</f>
        <v>0</v>
      </c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</row>
    <row r="28" spans="1:16" ht="16.5">
      <c r="A28" s="186" t="s">
        <v>459</v>
      </c>
      <c r="B28" s="181"/>
      <c r="C28" s="279">
        <f>'3.1 Détails charges fixes'!C19*1.196</f>
        <v>0</v>
      </c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6"/>
      <c r="P28" s="636"/>
    </row>
    <row r="29" spans="1:16" ht="16.5">
      <c r="A29" s="186" t="s">
        <v>201</v>
      </c>
      <c r="B29" s="181"/>
      <c r="C29" s="279">
        <f>'3.1 Détails charges fixes'!C20</f>
        <v>500</v>
      </c>
      <c r="D29" s="636"/>
      <c r="E29" s="636">
        <f t="shared" ref="E29:P29" si="5">assurprof/12</f>
        <v>41.666666666666664</v>
      </c>
      <c r="F29" s="636">
        <f t="shared" si="5"/>
        <v>41.666666666666664</v>
      </c>
      <c r="G29" s="636">
        <f t="shared" si="5"/>
        <v>41.666666666666664</v>
      </c>
      <c r="H29" s="636">
        <f t="shared" si="5"/>
        <v>41.666666666666664</v>
      </c>
      <c r="I29" s="636">
        <f t="shared" si="5"/>
        <v>41.666666666666664</v>
      </c>
      <c r="J29" s="636">
        <f t="shared" si="5"/>
        <v>41.666666666666664</v>
      </c>
      <c r="K29" s="636">
        <f t="shared" si="5"/>
        <v>41.666666666666664</v>
      </c>
      <c r="L29" s="636">
        <f t="shared" si="5"/>
        <v>41.666666666666664</v>
      </c>
      <c r="M29" s="636">
        <f t="shared" si="5"/>
        <v>41.666666666666664</v>
      </c>
      <c r="N29" s="636">
        <f t="shared" si="5"/>
        <v>41.666666666666664</v>
      </c>
      <c r="O29" s="636">
        <f t="shared" si="5"/>
        <v>41.666666666666664</v>
      </c>
      <c r="P29" s="636">
        <f t="shared" si="5"/>
        <v>41.666666666666664</v>
      </c>
    </row>
    <row r="30" spans="1:16" ht="16.5">
      <c r="A30" s="188" t="s">
        <v>202</v>
      </c>
      <c r="B30" s="181"/>
      <c r="C30" s="279">
        <f>'3.1 Détails charges fixes'!C21*1.055</f>
        <v>105.5</v>
      </c>
      <c r="D30" s="636"/>
      <c r="E30" s="636">
        <f t="shared" ref="E30:P30" si="6">docref/12</f>
        <v>8.7916666666666661</v>
      </c>
      <c r="F30" s="636">
        <f t="shared" si="6"/>
        <v>8.7916666666666661</v>
      </c>
      <c r="G30" s="636">
        <f t="shared" si="6"/>
        <v>8.7916666666666661</v>
      </c>
      <c r="H30" s="636">
        <f t="shared" si="6"/>
        <v>8.7916666666666661</v>
      </c>
      <c r="I30" s="636">
        <f t="shared" si="6"/>
        <v>8.7916666666666661</v>
      </c>
      <c r="J30" s="636">
        <f t="shared" si="6"/>
        <v>8.7916666666666661</v>
      </c>
      <c r="K30" s="636">
        <f t="shared" si="6"/>
        <v>8.7916666666666661</v>
      </c>
      <c r="L30" s="636">
        <f t="shared" si="6"/>
        <v>8.7916666666666661</v>
      </c>
      <c r="M30" s="636">
        <f t="shared" si="6"/>
        <v>8.7916666666666661</v>
      </c>
      <c r="N30" s="636">
        <f t="shared" si="6"/>
        <v>8.7916666666666661</v>
      </c>
      <c r="O30" s="636">
        <f t="shared" si="6"/>
        <v>8.7916666666666661</v>
      </c>
      <c r="P30" s="636">
        <f t="shared" si="6"/>
        <v>8.7916666666666661</v>
      </c>
    </row>
    <row r="31" spans="1:16" ht="16.5">
      <c r="A31" s="189" t="s">
        <v>454</v>
      </c>
      <c r="B31" s="181"/>
      <c r="C31" s="279">
        <f>'3.1 Détails charges fixes'!C22</f>
        <v>0</v>
      </c>
      <c r="D31" s="636"/>
      <c r="E31" s="636"/>
      <c r="F31" s="636"/>
      <c r="G31" s="636"/>
      <c r="H31" s="636"/>
      <c r="I31" s="636"/>
      <c r="J31" s="636"/>
      <c r="K31" s="636"/>
      <c r="L31" s="636"/>
      <c r="M31" s="636"/>
      <c r="N31" s="636"/>
      <c r="O31" s="636"/>
      <c r="P31" s="636"/>
    </row>
    <row r="32" spans="1:16" ht="16.5">
      <c r="A32" s="125" t="str">
        <f>'3.1 Détails charges fixes'!A23</f>
        <v xml:space="preserve">           .</v>
      </c>
      <c r="B32" s="181"/>
      <c r="C32" s="279">
        <f>'3.1 Détails charges fixes'!C23*1.196</f>
        <v>0</v>
      </c>
      <c r="D32" s="636"/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636"/>
      <c r="P32" s="636"/>
    </row>
    <row r="33" spans="1:16" ht="16.5">
      <c r="A33" s="190" t="s">
        <v>203</v>
      </c>
      <c r="B33" s="181"/>
      <c r="C33" s="279">
        <f>'3.1 Détails charges fixes'!C26*1.196</f>
        <v>0</v>
      </c>
      <c r="D33" s="636"/>
      <c r="E33" s="636"/>
      <c r="F33" s="636"/>
      <c r="G33" s="636"/>
      <c r="H33" s="636"/>
      <c r="I33" s="636"/>
      <c r="J33" s="636"/>
      <c r="K33" s="636"/>
      <c r="L33" s="636"/>
      <c r="M33" s="636"/>
      <c r="N33" s="636"/>
      <c r="O33" s="636"/>
      <c r="P33" s="636"/>
    </row>
    <row r="34" spans="1:16" ht="16.5">
      <c r="A34" s="186" t="s">
        <v>204</v>
      </c>
      <c r="B34" s="181"/>
      <c r="C34" s="279">
        <f>+'3.1 Détails charges fixes'!C27*1.196</f>
        <v>1913.6</v>
      </c>
      <c r="D34" s="636"/>
      <c r="E34" s="636">
        <f t="shared" ref="E34:P34" si="7">expcptbe/12</f>
        <v>159.46666666666667</v>
      </c>
      <c r="F34" s="636">
        <f t="shared" si="7"/>
        <v>159.46666666666667</v>
      </c>
      <c r="G34" s="636">
        <f t="shared" si="7"/>
        <v>159.46666666666667</v>
      </c>
      <c r="H34" s="636">
        <f t="shared" si="7"/>
        <v>159.46666666666667</v>
      </c>
      <c r="I34" s="636">
        <f t="shared" si="7"/>
        <v>159.46666666666667</v>
      </c>
      <c r="J34" s="636">
        <f t="shared" si="7"/>
        <v>159.46666666666667</v>
      </c>
      <c r="K34" s="636">
        <f t="shared" si="7"/>
        <v>159.46666666666667</v>
      </c>
      <c r="L34" s="636">
        <f t="shared" si="7"/>
        <v>159.46666666666667</v>
      </c>
      <c r="M34" s="636">
        <f t="shared" si="7"/>
        <v>159.46666666666667</v>
      </c>
      <c r="N34" s="636">
        <f t="shared" si="7"/>
        <v>159.46666666666667</v>
      </c>
      <c r="O34" s="636">
        <f t="shared" si="7"/>
        <v>159.46666666666667</v>
      </c>
      <c r="P34" s="636">
        <f t="shared" si="7"/>
        <v>159.46666666666667</v>
      </c>
    </row>
    <row r="35" spans="1:16" ht="16.5">
      <c r="A35" s="186" t="s">
        <v>205</v>
      </c>
      <c r="B35" s="181"/>
      <c r="C35" s="279">
        <f>'3.1 Détails charges fixes'!C28*1.196</f>
        <v>1076.3999999999999</v>
      </c>
      <c r="D35" s="636"/>
      <c r="E35" s="636">
        <f t="shared" ref="E35:P35" si="8">avocat/12</f>
        <v>89.699999999999989</v>
      </c>
      <c r="F35" s="636">
        <f t="shared" si="8"/>
        <v>89.699999999999989</v>
      </c>
      <c r="G35" s="636">
        <f t="shared" si="8"/>
        <v>89.699999999999989</v>
      </c>
      <c r="H35" s="636">
        <f t="shared" si="8"/>
        <v>89.699999999999989</v>
      </c>
      <c r="I35" s="636">
        <f t="shared" si="8"/>
        <v>89.699999999999989</v>
      </c>
      <c r="J35" s="636">
        <f t="shared" si="8"/>
        <v>89.699999999999989</v>
      </c>
      <c r="K35" s="636">
        <f t="shared" si="8"/>
        <v>89.699999999999989</v>
      </c>
      <c r="L35" s="636">
        <f t="shared" si="8"/>
        <v>89.699999999999989</v>
      </c>
      <c r="M35" s="636">
        <f t="shared" si="8"/>
        <v>89.699999999999989</v>
      </c>
      <c r="N35" s="636">
        <f t="shared" si="8"/>
        <v>89.699999999999989</v>
      </c>
      <c r="O35" s="636">
        <f t="shared" si="8"/>
        <v>89.699999999999989</v>
      </c>
      <c r="P35" s="636">
        <f t="shared" si="8"/>
        <v>89.699999999999989</v>
      </c>
    </row>
    <row r="36" spans="1:16" ht="16.5">
      <c r="A36" s="186" t="s">
        <v>237</v>
      </c>
      <c r="B36" s="181"/>
      <c r="C36" s="279">
        <f>'3.1 Détails charges fixes'!C38*1.196</f>
        <v>0</v>
      </c>
      <c r="D36" s="636"/>
      <c r="E36" s="636"/>
      <c r="F36" s="636"/>
      <c r="G36" s="636"/>
      <c r="H36" s="636"/>
      <c r="I36" s="636"/>
      <c r="J36" s="636"/>
      <c r="K36" s="636"/>
      <c r="L36" s="636"/>
      <c r="M36" s="636"/>
      <c r="N36" s="636"/>
      <c r="O36" s="636"/>
      <c r="P36" s="636"/>
    </row>
    <row r="37" spans="1:16" ht="16.5">
      <c r="A37" s="186" t="s">
        <v>206</v>
      </c>
      <c r="B37" s="182"/>
      <c r="C37" s="280">
        <f>'3.1 Détails charges fixes'!C30</f>
        <v>6000</v>
      </c>
      <c r="D37" s="636"/>
      <c r="E37" s="636">
        <f t="shared" ref="E37:P37" si="9">fraisdep/12</f>
        <v>500</v>
      </c>
      <c r="F37" s="636">
        <f t="shared" si="9"/>
        <v>500</v>
      </c>
      <c r="G37" s="636">
        <f t="shared" si="9"/>
        <v>500</v>
      </c>
      <c r="H37" s="636">
        <f t="shared" si="9"/>
        <v>500</v>
      </c>
      <c r="I37" s="636">
        <f t="shared" si="9"/>
        <v>500</v>
      </c>
      <c r="J37" s="636">
        <f t="shared" si="9"/>
        <v>500</v>
      </c>
      <c r="K37" s="636">
        <f t="shared" si="9"/>
        <v>500</v>
      </c>
      <c r="L37" s="636">
        <f t="shared" si="9"/>
        <v>500</v>
      </c>
      <c r="M37" s="636">
        <f t="shared" si="9"/>
        <v>500</v>
      </c>
      <c r="N37" s="636">
        <f t="shared" si="9"/>
        <v>500</v>
      </c>
      <c r="O37" s="636">
        <f t="shared" si="9"/>
        <v>500</v>
      </c>
      <c r="P37" s="636">
        <f t="shared" si="9"/>
        <v>500</v>
      </c>
    </row>
    <row r="38" spans="1:16" ht="16.5">
      <c r="A38" s="186" t="s">
        <v>207</v>
      </c>
      <c r="B38" s="179"/>
      <c r="C38" s="279">
        <f>'3.1 Détails charges fixes'!C31</f>
        <v>2000</v>
      </c>
      <c r="D38" s="636"/>
      <c r="E38" s="636">
        <f t="shared" ref="E38:P38" si="10">frrecp/12</f>
        <v>166.66666666666666</v>
      </c>
      <c r="F38" s="636">
        <f t="shared" si="10"/>
        <v>166.66666666666666</v>
      </c>
      <c r="G38" s="636">
        <f t="shared" si="10"/>
        <v>166.66666666666666</v>
      </c>
      <c r="H38" s="636">
        <f t="shared" si="10"/>
        <v>166.66666666666666</v>
      </c>
      <c r="I38" s="636">
        <f t="shared" si="10"/>
        <v>166.66666666666666</v>
      </c>
      <c r="J38" s="636">
        <f t="shared" si="10"/>
        <v>166.66666666666666</v>
      </c>
      <c r="K38" s="636">
        <f t="shared" si="10"/>
        <v>166.66666666666666</v>
      </c>
      <c r="L38" s="636">
        <f t="shared" si="10"/>
        <v>166.66666666666666</v>
      </c>
      <c r="M38" s="636">
        <f t="shared" si="10"/>
        <v>166.66666666666666</v>
      </c>
      <c r="N38" s="636">
        <f t="shared" si="10"/>
        <v>166.66666666666666</v>
      </c>
      <c r="O38" s="636">
        <f t="shared" si="10"/>
        <v>166.66666666666666</v>
      </c>
      <c r="P38" s="636">
        <f t="shared" si="10"/>
        <v>166.66666666666666</v>
      </c>
    </row>
    <row r="39" spans="1:16" ht="16.5">
      <c r="A39" s="186" t="s">
        <v>208</v>
      </c>
      <c r="B39" s="181"/>
      <c r="C39" s="279">
        <f>'3.1 Détails charges fixes'!C32</f>
        <v>30</v>
      </c>
      <c r="D39" s="636"/>
      <c r="E39" s="636">
        <f t="shared" ref="E39:P39" si="11">fraispost/12</f>
        <v>2.5</v>
      </c>
      <c r="F39" s="636">
        <f t="shared" si="11"/>
        <v>2.5</v>
      </c>
      <c r="G39" s="636">
        <f t="shared" si="11"/>
        <v>2.5</v>
      </c>
      <c r="H39" s="636">
        <f t="shared" si="11"/>
        <v>2.5</v>
      </c>
      <c r="I39" s="636">
        <f t="shared" si="11"/>
        <v>2.5</v>
      </c>
      <c r="J39" s="636">
        <f t="shared" si="11"/>
        <v>2.5</v>
      </c>
      <c r="K39" s="636">
        <f t="shared" si="11"/>
        <v>2.5</v>
      </c>
      <c r="L39" s="636">
        <f t="shared" si="11"/>
        <v>2.5</v>
      </c>
      <c r="M39" s="636">
        <f t="shared" si="11"/>
        <v>2.5</v>
      </c>
      <c r="N39" s="636">
        <f t="shared" si="11"/>
        <v>2.5</v>
      </c>
      <c r="O39" s="636">
        <f t="shared" si="11"/>
        <v>2.5</v>
      </c>
      <c r="P39" s="636">
        <f t="shared" si="11"/>
        <v>2.5</v>
      </c>
    </row>
    <row r="40" spans="1:16" ht="16.5">
      <c r="A40" s="186" t="s">
        <v>209</v>
      </c>
      <c r="B40" s="181"/>
      <c r="C40" s="279">
        <f>'3.1 Détails charges fixes'!C33*1.196</f>
        <v>717.6</v>
      </c>
      <c r="D40" s="636"/>
      <c r="E40" s="636">
        <f t="shared" ref="E40:P40" si="12">tél/12</f>
        <v>59.800000000000004</v>
      </c>
      <c r="F40" s="636">
        <f t="shared" si="12"/>
        <v>59.800000000000004</v>
      </c>
      <c r="G40" s="636">
        <f t="shared" si="12"/>
        <v>59.800000000000004</v>
      </c>
      <c r="H40" s="636">
        <f t="shared" si="12"/>
        <v>59.800000000000004</v>
      </c>
      <c r="I40" s="636">
        <f t="shared" si="12"/>
        <v>59.800000000000004</v>
      </c>
      <c r="J40" s="636">
        <f t="shared" si="12"/>
        <v>59.800000000000004</v>
      </c>
      <c r="K40" s="636">
        <f t="shared" si="12"/>
        <v>59.800000000000004</v>
      </c>
      <c r="L40" s="636">
        <f t="shared" si="12"/>
        <v>59.800000000000004</v>
      </c>
      <c r="M40" s="636">
        <f t="shared" si="12"/>
        <v>59.800000000000004</v>
      </c>
      <c r="N40" s="636">
        <f t="shared" si="12"/>
        <v>59.800000000000004</v>
      </c>
      <c r="O40" s="636">
        <f t="shared" si="12"/>
        <v>59.800000000000004</v>
      </c>
      <c r="P40" s="636">
        <f t="shared" si="12"/>
        <v>59.800000000000004</v>
      </c>
    </row>
    <row r="41" spans="1:16" ht="16.5">
      <c r="A41" s="186" t="s">
        <v>210</v>
      </c>
      <c r="B41" s="182"/>
      <c r="C41" s="280">
        <f>'3.1 Détails charges fixes'!C34*1.196</f>
        <v>0</v>
      </c>
      <c r="D41" s="636"/>
      <c r="E41" s="636"/>
      <c r="F41" s="636"/>
      <c r="G41" s="636"/>
      <c r="H41" s="636"/>
      <c r="I41" s="636"/>
      <c r="J41" s="636"/>
      <c r="K41" s="636"/>
      <c r="L41" s="636"/>
      <c r="M41" s="636"/>
      <c r="N41" s="636"/>
      <c r="O41" s="636"/>
      <c r="P41" s="636"/>
    </row>
    <row r="42" spans="1:16" ht="16.5">
      <c r="A42" s="186" t="s">
        <v>211</v>
      </c>
      <c r="B42" s="179"/>
      <c r="C42" s="279">
        <f>'3.1 Détails charges fixes'!C35*1.196</f>
        <v>287.03999999999996</v>
      </c>
      <c r="D42" s="636"/>
      <c r="E42" s="636">
        <f t="shared" ref="E42:P42" si="13">fraisbqe/12</f>
        <v>23.919999999999998</v>
      </c>
      <c r="F42" s="636">
        <f t="shared" si="13"/>
        <v>23.919999999999998</v>
      </c>
      <c r="G42" s="636">
        <f t="shared" si="13"/>
        <v>23.919999999999998</v>
      </c>
      <c r="H42" s="636">
        <f t="shared" si="13"/>
        <v>23.919999999999998</v>
      </c>
      <c r="I42" s="636">
        <f t="shared" si="13"/>
        <v>23.919999999999998</v>
      </c>
      <c r="J42" s="636">
        <f t="shared" si="13"/>
        <v>23.919999999999998</v>
      </c>
      <c r="K42" s="636">
        <f t="shared" si="13"/>
        <v>23.919999999999998</v>
      </c>
      <c r="L42" s="636">
        <f t="shared" si="13"/>
        <v>23.919999999999998</v>
      </c>
      <c r="M42" s="636">
        <f t="shared" si="13"/>
        <v>23.919999999999998</v>
      </c>
      <c r="N42" s="636">
        <f t="shared" si="13"/>
        <v>23.919999999999998</v>
      </c>
      <c r="O42" s="636">
        <f t="shared" si="13"/>
        <v>23.919999999999998</v>
      </c>
      <c r="P42" s="636">
        <f t="shared" si="13"/>
        <v>23.919999999999998</v>
      </c>
    </row>
    <row r="43" spans="1:16" ht="16.5">
      <c r="A43" s="188" t="s">
        <v>238</v>
      </c>
      <c r="B43" s="181"/>
      <c r="C43" s="279">
        <f>'3.1 Détails charges fixes'!C36</f>
        <v>0</v>
      </c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</row>
    <row r="44" spans="1:16" ht="16.5">
      <c r="A44" s="189" t="s">
        <v>212</v>
      </c>
      <c r="B44" s="182"/>
      <c r="C44" s="280">
        <f>'3.1 Détails charges fixes'!C37</f>
        <v>0</v>
      </c>
      <c r="D44" s="636"/>
      <c r="E44" s="636"/>
      <c r="F44" s="636"/>
      <c r="G44" s="636"/>
      <c r="H44" s="636"/>
      <c r="I44" s="636"/>
      <c r="J44" s="636"/>
      <c r="K44" s="636"/>
      <c r="L44" s="636"/>
      <c r="M44" s="636"/>
      <c r="N44" s="636"/>
      <c r="O44" s="636"/>
      <c r="P44" s="636"/>
    </row>
    <row r="45" spans="1:16" ht="16.5">
      <c r="A45" s="189" t="str">
        <f>'3.1 Détails charges fixes'!A38</f>
        <v xml:space="preserve">           . </v>
      </c>
      <c r="B45" s="182"/>
      <c r="C45" s="280">
        <f>'3.1 Détails charges fixes'!C38</f>
        <v>0</v>
      </c>
      <c r="D45" s="636"/>
      <c r="E45" s="636"/>
      <c r="F45" s="636"/>
      <c r="G45" s="636"/>
      <c r="H45" s="636"/>
      <c r="I45" s="636"/>
      <c r="J45" s="636"/>
      <c r="K45" s="636"/>
      <c r="L45" s="636"/>
      <c r="M45" s="636"/>
      <c r="N45" s="636"/>
      <c r="O45" s="636"/>
      <c r="P45" s="636"/>
    </row>
    <row r="46" spans="1:16" ht="16.5">
      <c r="A46" s="268" t="s">
        <v>214</v>
      </c>
      <c r="B46" s="182"/>
      <c r="C46" s="280">
        <f>'3.1 Détails charges fixes'!C50</f>
        <v>470</v>
      </c>
      <c r="D46" s="636"/>
      <c r="E46" s="636">
        <f t="shared" ref="E46:P46" si="14">impots/12</f>
        <v>39.166666666666664</v>
      </c>
      <c r="F46" s="636">
        <f t="shared" si="14"/>
        <v>39.166666666666664</v>
      </c>
      <c r="G46" s="636">
        <f t="shared" si="14"/>
        <v>39.166666666666664</v>
      </c>
      <c r="H46" s="636">
        <f t="shared" si="14"/>
        <v>39.166666666666664</v>
      </c>
      <c r="I46" s="636">
        <f t="shared" si="14"/>
        <v>39.166666666666664</v>
      </c>
      <c r="J46" s="636">
        <f t="shared" si="14"/>
        <v>39.166666666666664</v>
      </c>
      <c r="K46" s="636">
        <f t="shared" si="14"/>
        <v>39.166666666666664</v>
      </c>
      <c r="L46" s="636">
        <f t="shared" si="14"/>
        <v>39.166666666666664</v>
      </c>
      <c r="M46" s="636">
        <f t="shared" si="14"/>
        <v>39.166666666666664</v>
      </c>
      <c r="N46" s="636">
        <f t="shared" si="14"/>
        <v>39.166666666666664</v>
      </c>
      <c r="O46" s="636">
        <f t="shared" si="14"/>
        <v>39.166666666666664</v>
      </c>
      <c r="P46" s="636">
        <f t="shared" si="14"/>
        <v>39.166666666666664</v>
      </c>
    </row>
    <row r="47" spans="1:16" ht="16.5">
      <c r="A47" s="187" t="s">
        <v>218</v>
      </c>
      <c r="B47" s="182"/>
      <c r="C47" s="280">
        <f>'3.1 Détails charges fixes'!C54</f>
        <v>12000</v>
      </c>
      <c r="D47" s="636"/>
      <c r="E47" s="636"/>
      <c r="F47" s="636"/>
      <c r="G47" s="636"/>
      <c r="H47" s="636"/>
      <c r="I47" s="636">
        <f t="shared" ref="I47:P47" si="15">salpersonnel/12</f>
        <v>1000</v>
      </c>
      <c r="J47" s="636">
        <f t="shared" si="15"/>
        <v>1000</v>
      </c>
      <c r="K47" s="636">
        <f t="shared" si="15"/>
        <v>1000</v>
      </c>
      <c r="L47" s="636">
        <f t="shared" si="15"/>
        <v>1000</v>
      </c>
      <c r="M47" s="636">
        <f t="shared" si="15"/>
        <v>1000</v>
      </c>
      <c r="N47" s="636">
        <f t="shared" si="15"/>
        <v>1000</v>
      </c>
      <c r="O47" s="636">
        <f t="shared" si="15"/>
        <v>1000</v>
      </c>
      <c r="P47" s="636">
        <f t="shared" si="15"/>
        <v>1000</v>
      </c>
    </row>
    <row r="48" spans="1:16" ht="16.5">
      <c r="A48" s="187" t="s">
        <v>219</v>
      </c>
      <c r="B48" s="182"/>
      <c r="C48" s="280">
        <f>'3.1 Détails charges fixes'!C52+'3.1 Détails charges fixes'!C53</f>
        <v>0</v>
      </c>
      <c r="D48" s="636"/>
      <c r="E48" s="636"/>
      <c r="F48" s="636"/>
      <c r="G48" s="636"/>
      <c r="H48" s="636"/>
      <c r="I48" s="636"/>
      <c r="J48" s="636"/>
      <c r="K48" s="636"/>
      <c r="L48" s="636"/>
      <c r="M48" s="636"/>
      <c r="N48" s="636"/>
      <c r="O48" s="636"/>
      <c r="P48" s="636"/>
    </row>
    <row r="49" spans="1:16" ht="16.5">
      <c r="A49" s="187" t="s">
        <v>215</v>
      </c>
      <c r="B49" s="182"/>
      <c r="C49" s="280">
        <f>'3.1 Détails charges fixes'!C57</f>
        <v>6000</v>
      </c>
      <c r="D49" s="636"/>
      <c r="E49" s="636"/>
      <c r="F49" s="636"/>
      <c r="G49" s="636"/>
      <c r="H49" s="636"/>
      <c r="I49" s="636">
        <f t="shared" ref="I49:P49" si="16">cotsal/12</f>
        <v>500</v>
      </c>
      <c r="J49" s="636">
        <f t="shared" si="16"/>
        <v>500</v>
      </c>
      <c r="K49" s="636">
        <f t="shared" si="16"/>
        <v>500</v>
      </c>
      <c r="L49" s="636">
        <f t="shared" si="16"/>
        <v>500</v>
      </c>
      <c r="M49" s="636">
        <f t="shared" si="16"/>
        <v>500</v>
      </c>
      <c r="N49" s="636">
        <f t="shared" si="16"/>
        <v>500</v>
      </c>
      <c r="O49" s="636">
        <f t="shared" si="16"/>
        <v>500</v>
      </c>
      <c r="P49" s="636">
        <f t="shared" si="16"/>
        <v>500</v>
      </c>
    </row>
    <row r="50" spans="1:16" ht="16.5">
      <c r="A50" s="187" t="s">
        <v>216</v>
      </c>
      <c r="B50" s="182"/>
      <c r="C50" s="280">
        <f>'3.1 Détails charges fixes'!C58</f>
        <v>1800</v>
      </c>
      <c r="D50" s="636"/>
      <c r="E50" s="636">
        <f t="shared" ref="E50:P50" si="17">cottns/12</f>
        <v>150</v>
      </c>
      <c r="F50" s="636">
        <f t="shared" si="17"/>
        <v>150</v>
      </c>
      <c r="G50" s="636">
        <f t="shared" si="17"/>
        <v>150</v>
      </c>
      <c r="H50" s="636">
        <f t="shared" si="17"/>
        <v>150</v>
      </c>
      <c r="I50" s="636">
        <f t="shared" si="17"/>
        <v>150</v>
      </c>
      <c r="J50" s="636">
        <f t="shared" si="17"/>
        <v>150</v>
      </c>
      <c r="K50" s="636">
        <f t="shared" si="17"/>
        <v>150</v>
      </c>
      <c r="L50" s="636">
        <f t="shared" si="17"/>
        <v>150</v>
      </c>
      <c r="M50" s="636">
        <f t="shared" si="17"/>
        <v>150</v>
      </c>
      <c r="N50" s="636">
        <f t="shared" si="17"/>
        <v>150</v>
      </c>
      <c r="O50" s="636">
        <f t="shared" si="17"/>
        <v>150</v>
      </c>
      <c r="P50" s="636">
        <f t="shared" si="17"/>
        <v>150</v>
      </c>
    </row>
    <row r="51" spans="1:16" ht="16.5">
      <c r="A51" s="187" t="s">
        <v>217</v>
      </c>
      <c r="B51" s="182"/>
      <c r="C51" s="280">
        <f>'3.1 Détails charges fixes'!C59</f>
        <v>720</v>
      </c>
      <c r="D51" s="636"/>
      <c r="E51" s="636">
        <f t="shared" ref="E51:P51" si="18">loimadelin/12</f>
        <v>60</v>
      </c>
      <c r="F51" s="636">
        <f t="shared" si="18"/>
        <v>60</v>
      </c>
      <c r="G51" s="636">
        <f t="shared" si="18"/>
        <v>60</v>
      </c>
      <c r="H51" s="636">
        <f t="shared" si="18"/>
        <v>60</v>
      </c>
      <c r="I51" s="636">
        <f t="shared" si="18"/>
        <v>60</v>
      </c>
      <c r="J51" s="636">
        <f t="shared" si="18"/>
        <v>60</v>
      </c>
      <c r="K51" s="636">
        <f t="shared" si="18"/>
        <v>60</v>
      </c>
      <c r="L51" s="636">
        <f t="shared" si="18"/>
        <v>60</v>
      </c>
      <c r="M51" s="636">
        <f t="shared" si="18"/>
        <v>60</v>
      </c>
      <c r="N51" s="636">
        <f t="shared" si="18"/>
        <v>60</v>
      </c>
      <c r="O51" s="636">
        <f t="shared" si="18"/>
        <v>60</v>
      </c>
      <c r="P51" s="636">
        <f t="shared" si="18"/>
        <v>60</v>
      </c>
    </row>
    <row r="52" spans="1:16" ht="16.5">
      <c r="A52" s="187" t="s">
        <v>460</v>
      </c>
      <c r="B52" s="182"/>
      <c r="C52" s="280">
        <f>'3.1 Détails charges fixes'!C70</f>
        <v>0</v>
      </c>
      <c r="D52" s="636"/>
      <c r="E52" s="636"/>
      <c r="F52" s="636"/>
      <c r="G52" s="636"/>
      <c r="H52" s="636"/>
      <c r="I52" s="636"/>
      <c r="J52" s="636"/>
      <c r="K52" s="636"/>
      <c r="L52" s="636"/>
      <c r="M52" s="636"/>
      <c r="N52" s="636"/>
      <c r="O52" s="636"/>
      <c r="P52" s="636"/>
    </row>
    <row r="53" spans="1:16" ht="16.5">
      <c r="A53" s="178" t="s">
        <v>335</v>
      </c>
      <c r="B53" s="179"/>
      <c r="C53" s="279">
        <f>'3,131 int emprunts'!E6</f>
        <v>0</v>
      </c>
      <c r="D53" s="276"/>
      <c r="E53" s="491">
        <f>C53</f>
        <v>0</v>
      </c>
      <c r="F53" s="172">
        <f>C53</f>
        <v>0</v>
      </c>
      <c r="G53" s="172">
        <f>C53</f>
        <v>0</v>
      </c>
      <c r="H53" s="172">
        <f>C53</f>
        <v>0</v>
      </c>
      <c r="I53" s="172">
        <f>C53</f>
        <v>0</v>
      </c>
      <c r="J53" s="172">
        <f>C53</f>
        <v>0</v>
      </c>
      <c r="K53" s="172">
        <f>C53</f>
        <v>0</v>
      </c>
      <c r="L53" s="172">
        <f>C53</f>
        <v>0</v>
      </c>
      <c r="M53" s="172">
        <f>C53</f>
        <v>0</v>
      </c>
      <c r="N53" s="172">
        <f>C53</f>
        <v>0</v>
      </c>
      <c r="O53" s="172">
        <f>C53</f>
        <v>0</v>
      </c>
      <c r="P53" s="172">
        <f>C53</f>
        <v>0</v>
      </c>
    </row>
    <row r="54" spans="1:16" ht="16.5">
      <c r="A54" s="178" t="s">
        <v>336</v>
      </c>
      <c r="B54" s="179"/>
      <c r="C54" s="279">
        <f>'3,131 int emprunts'!E20</f>
        <v>125.09913517981251</v>
      </c>
      <c r="D54" s="276"/>
      <c r="E54" s="491">
        <f>C54</f>
        <v>125.09913517981251</v>
      </c>
      <c r="F54" s="172">
        <f>C54</f>
        <v>125.09913517981251</v>
      </c>
      <c r="G54" s="172">
        <f>C54</f>
        <v>125.09913517981251</v>
      </c>
      <c r="H54" s="172">
        <f>C54</f>
        <v>125.09913517981251</v>
      </c>
      <c r="I54" s="172">
        <f>C54</f>
        <v>125.09913517981251</v>
      </c>
      <c r="J54" s="172">
        <f>C54</f>
        <v>125.09913517981251</v>
      </c>
      <c r="K54" s="172">
        <f>C54</f>
        <v>125.09913517981251</v>
      </c>
      <c r="L54" s="172">
        <f>C54</f>
        <v>125.09913517981251</v>
      </c>
      <c r="M54" s="172">
        <f>C54</f>
        <v>125.09913517981251</v>
      </c>
      <c r="N54" s="172">
        <f>C54</f>
        <v>125.09913517981251</v>
      </c>
      <c r="O54" s="172">
        <f>C54</f>
        <v>125.09913517981251</v>
      </c>
      <c r="P54" s="172">
        <f>C54</f>
        <v>125.09913517981251</v>
      </c>
    </row>
    <row r="55" spans="1:16" ht="16.5">
      <c r="A55" s="178" t="s">
        <v>337</v>
      </c>
      <c r="B55" s="179"/>
      <c r="C55" s="279">
        <f>'3,131 int emprunts'!L20</f>
        <v>38.495799688044684</v>
      </c>
      <c r="D55" s="276"/>
      <c r="E55" s="491">
        <f>C55</f>
        <v>38.495799688044684</v>
      </c>
      <c r="F55" s="172">
        <f>C55</f>
        <v>38.495799688044684</v>
      </c>
      <c r="G55" s="172">
        <f>C55</f>
        <v>38.495799688044684</v>
      </c>
      <c r="H55" s="172">
        <f>C55</f>
        <v>38.495799688044684</v>
      </c>
      <c r="I55" s="172">
        <f>C55</f>
        <v>38.495799688044684</v>
      </c>
      <c r="J55" s="172">
        <f>C55</f>
        <v>38.495799688044684</v>
      </c>
      <c r="K55" s="172">
        <f>C55</f>
        <v>38.495799688044684</v>
      </c>
      <c r="L55" s="172">
        <f>C55</f>
        <v>38.495799688044684</v>
      </c>
      <c r="M55" s="172">
        <f>C55</f>
        <v>38.495799688044684</v>
      </c>
      <c r="N55" s="172">
        <f>C55</f>
        <v>38.495799688044684</v>
      </c>
      <c r="O55" s="172">
        <f>C55</f>
        <v>38.495799688044684</v>
      </c>
      <c r="P55" s="172">
        <f>C55</f>
        <v>38.495799688044684</v>
      </c>
    </row>
    <row r="56" spans="1:16" ht="16.5">
      <c r="A56" s="183" t="s">
        <v>220</v>
      </c>
      <c r="B56" s="181"/>
      <c r="C56" s="279">
        <f>'3.1 Détails charges fixes'!C73</f>
        <v>0</v>
      </c>
      <c r="D56" s="180"/>
      <c r="E56" s="485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</row>
    <row r="57" spans="1:16" ht="16.5">
      <c r="A57" s="183" t="s">
        <v>221</v>
      </c>
      <c r="B57" s="181"/>
      <c r="C57" s="270"/>
      <c r="D57" s="276" t="s">
        <v>0</v>
      </c>
      <c r="E57" s="492">
        <f t="shared" ref="E57:P57" si="19">E71</f>
        <v>0</v>
      </c>
      <c r="F57" s="267">
        <f t="shared" si="19"/>
        <v>0</v>
      </c>
      <c r="G57" s="267">
        <f t="shared" si="19"/>
        <v>0</v>
      </c>
      <c r="H57" s="267">
        <f t="shared" si="19"/>
        <v>755.88896767001143</v>
      </c>
      <c r="I57" s="267">
        <f t="shared" si="19"/>
        <v>0</v>
      </c>
      <c r="J57" s="267">
        <f t="shared" si="19"/>
        <v>0</v>
      </c>
      <c r="K57" s="267">
        <f t="shared" si="19"/>
        <v>850.01152173913056</v>
      </c>
      <c r="L57" s="267">
        <f t="shared" si="19"/>
        <v>0</v>
      </c>
      <c r="M57" s="267">
        <f t="shared" si="19"/>
        <v>0</v>
      </c>
      <c r="N57" s="267">
        <f t="shared" si="19"/>
        <v>0</v>
      </c>
      <c r="O57" s="267">
        <f t="shared" si="19"/>
        <v>0</v>
      </c>
      <c r="P57" s="267">
        <f t="shared" si="19"/>
        <v>0</v>
      </c>
    </row>
    <row r="58" spans="1:16" ht="16.5">
      <c r="A58" s="183" t="s">
        <v>222</v>
      </c>
      <c r="B58" s="181"/>
      <c r="C58" s="271"/>
      <c r="D58" s="263">
        <f>'1.0 Plan de financement'!C17+'1.0 Plan de financement'!C21</f>
        <v>8613.2000000000007</v>
      </c>
      <c r="E58" s="632">
        <v>0</v>
      </c>
      <c r="F58" s="633"/>
      <c r="G58" s="633"/>
      <c r="H58" s="633"/>
      <c r="I58" s="633"/>
      <c r="J58" s="633"/>
      <c r="K58" s="633"/>
      <c r="L58" s="633"/>
      <c r="M58" s="633"/>
      <c r="N58" s="633"/>
      <c r="O58" s="633"/>
      <c r="P58" s="633"/>
    </row>
    <row r="59" spans="1:16" ht="16.5">
      <c r="A59" s="158" t="s">
        <v>223</v>
      </c>
      <c r="B59" s="184"/>
      <c r="C59" s="272"/>
      <c r="D59" s="264">
        <f>'1.0 Plan de financement'!C18+'1.0 Plan de financement'!C19+'1.0 Plan de financement'!C22</f>
        <v>0</v>
      </c>
      <c r="E59" s="634"/>
      <c r="F59" s="635"/>
      <c r="G59" s="635"/>
      <c r="H59" s="635"/>
      <c r="I59" s="635"/>
      <c r="J59" s="635"/>
      <c r="K59" s="635"/>
      <c r="L59" s="635"/>
      <c r="M59" s="635"/>
      <c r="N59" s="635"/>
      <c r="O59" s="635"/>
      <c r="P59" s="635"/>
    </row>
    <row r="60" spans="1:16" ht="18" customHeight="1">
      <c r="A60" s="794" t="s">
        <v>134</v>
      </c>
      <c r="B60" s="794"/>
      <c r="C60" s="243"/>
      <c r="D60" s="174">
        <f>SUM(D14:D59)</f>
        <v>8613.2000000000007</v>
      </c>
      <c r="E60" s="488">
        <f t="shared" ref="E60:P60" si="20">SUM(E14:E59)</f>
        <v>3024.3346015345242</v>
      </c>
      <c r="F60" s="174">
        <f t="shared" si="20"/>
        <v>1735.206601534524</v>
      </c>
      <c r="G60" s="174">
        <f t="shared" si="20"/>
        <v>1735.206601534524</v>
      </c>
      <c r="H60" s="174">
        <f t="shared" si="20"/>
        <v>3036.4555692045355</v>
      </c>
      <c r="I60" s="174">
        <f t="shared" si="20"/>
        <v>3235.206601534524</v>
      </c>
      <c r="J60" s="174">
        <f t="shared" si="20"/>
        <v>3235.206601534524</v>
      </c>
      <c r="K60" s="174">
        <f t="shared" si="20"/>
        <v>4630.5781232736545</v>
      </c>
      <c r="L60" s="174">
        <f t="shared" si="20"/>
        <v>3235.206601534524</v>
      </c>
      <c r="M60" s="174">
        <f t="shared" si="20"/>
        <v>3235.206601534524</v>
      </c>
      <c r="N60" s="174">
        <f t="shared" si="20"/>
        <v>3235.206601534524</v>
      </c>
      <c r="O60" s="174">
        <f t="shared" si="20"/>
        <v>3235.206601534524</v>
      </c>
      <c r="P60" s="174">
        <f t="shared" si="20"/>
        <v>3235.206601534524</v>
      </c>
    </row>
    <row r="61" spans="1:16" ht="18" customHeight="1">
      <c r="A61" s="791" t="s">
        <v>259</v>
      </c>
      <c r="B61" s="791"/>
      <c r="C61" s="244"/>
      <c r="D61" s="185">
        <f t="shared" ref="D61:P61" si="21">D12-D60</f>
        <v>4036.9095890410954</v>
      </c>
      <c r="E61" s="493">
        <f t="shared" si="21"/>
        <v>6065.2653984654762</v>
      </c>
      <c r="F61" s="185">
        <f t="shared" si="21"/>
        <v>-1735.206601534524</v>
      </c>
      <c r="G61" s="185">
        <f t="shared" si="21"/>
        <v>-1735.206601534524</v>
      </c>
      <c r="H61" s="185">
        <f t="shared" si="21"/>
        <v>3780.5444307954645</v>
      </c>
      <c r="I61" s="185">
        <f t="shared" si="21"/>
        <v>-3235.206601534524</v>
      </c>
      <c r="J61" s="185">
        <f t="shared" si="21"/>
        <v>-3235.206601534524</v>
      </c>
      <c r="K61" s="185">
        <f t="shared" si="21"/>
        <v>2186.4218767263455</v>
      </c>
      <c r="L61" s="185">
        <f t="shared" si="21"/>
        <v>-3235.206601534524</v>
      </c>
      <c r="M61" s="185">
        <f t="shared" si="21"/>
        <v>-3235.206601534524</v>
      </c>
      <c r="N61" s="185">
        <f t="shared" si="21"/>
        <v>-3235.206601534524</v>
      </c>
      <c r="O61" s="185">
        <f t="shared" si="21"/>
        <v>-3235.206601534524</v>
      </c>
      <c r="P61" s="185">
        <f t="shared" si="21"/>
        <v>-3235.206601534524</v>
      </c>
    </row>
    <row r="62" spans="1:16" ht="18" customHeight="1">
      <c r="A62" s="791" t="s">
        <v>135</v>
      </c>
      <c r="B62" s="791"/>
      <c r="C62" s="244"/>
      <c r="D62" s="374">
        <f>D61*1</f>
        <v>4036.9095890410954</v>
      </c>
      <c r="E62" s="493">
        <f>D62+E61</f>
        <v>10102.174987506573</v>
      </c>
      <c r="F62" s="374">
        <f>E62+F61</f>
        <v>8366.9683859720481</v>
      </c>
      <c r="G62" s="374">
        <f t="shared" ref="G62:P62" si="22">F62+G61</f>
        <v>6631.7617844375236</v>
      </c>
      <c r="H62" s="374">
        <f t="shared" si="22"/>
        <v>10412.306215232988</v>
      </c>
      <c r="I62" s="374">
        <f t="shared" si="22"/>
        <v>7177.0996136984631</v>
      </c>
      <c r="J62" s="374">
        <f t="shared" si="22"/>
        <v>3941.8930121639391</v>
      </c>
      <c r="K62" s="374">
        <f t="shared" si="22"/>
        <v>6128.3148888902851</v>
      </c>
      <c r="L62" s="374">
        <f t="shared" si="22"/>
        <v>2893.1082873557611</v>
      </c>
      <c r="M62" s="374">
        <f t="shared" si="22"/>
        <v>-342.09831417876285</v>
      </c>
      <c r="N62" s="374">
        <f t="shared" si="22"/>
        <v>-3577.3049157132868</v>
      </c>
      <c r="O62" s="374">
        <f t="shared" si="22"/>
        <v>-6812.5115172478108</v>
      </c>
      <c r="P62" s="374">
        <f t="shared" si="22"/>
        <v>-10047.718118782335</v>
      </c>
    </row>
    <row r="63" spans="1:16" ht="16.5">
      <c r="A63" s="158"/>
      <c r="B63" s="69"/>
      <c r="C63" s="69"/>
      <c r="D63" s="169"/>
      <c r="E63" s="483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</row>
    <row r="64" spans="1:16" ht="16.5">
      <c r="A64" s="158" t="s">
        <v>480</v>
      </c>
      <c r="B64" s="452">
        <f>'3,6 ca mini'!L19</f>
        <v>0.19600000000000001</v>
      </c>
      <c r="C64" s="69"/>
      <c r="D64" s="169"/>
      <c r="E64" s="483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</row>
    <row r="65" spans="1:16">
      <c r="A65" s="69"/>
      <c r="B65" s="69" t="s">
        <v>254</v>
      </c>
      <c r="C65" s="273"/>
      <c r="D65" s="274"/>
      <c r="E65" s="494">
        <f>SUM(E9:E11)</f>
        <v>9089.6</v>
      </c>
      <c r="F65" s="360">
        <f t="shared" ref="F65:P65" si="23">SUM(F9:F11)</f>
        <v>0</v>
      </c>
      <c r="G65" s="360">
        <f t="shared" si="23"/>
        <v>0</v>
      </c>
      <c r="H65" s="360">
        <f t="shared" si="23"/>
        <v>6817</v>
      </c>
      <c r="I65" s="360">
        <f t="shared" si="23"/>
        <v>0</v>
      </c>
      <c r="J65" s="360">
        <f t="shared" si="23"/>
        <v>0</v>
      </c>
      <c r="K65" s="360">
        <f t="shared" si="23"/>
        <v>6817</v>
      </c>
      <c r="L65" s="360">
        <f t="shared" si="23"/>
        <v>0</v>
      </c>
      <c r="M65" s="360">
        <f t="shared" si="23"/>
        <v>0</v>
      </c>
      <c r="N65" s="360">
        <f t="shared" si="23"/>
        <v>0</v>
      </c>
      <c r="O65" s="360">
        <f t="shared" si="23"/>
        <v>0</v>
      </c>
      <c r="P65" s="360">
        <f t="shared" si="23"/>
        <v>0</v>
      </c>
    </row>
    <row r="66" spans="1:16">
      <c r="A66" s="69"/>
      <c r="B66" s="69" t="s">
        <v>255</v>
      </c>
      <c r="C66" s="273"/>
      <c r="D66" s="274"/>
      <c r="E66" s="494">
        <f>(E65/(100%+B64))*B64</f>
        <v>1489.6000000000001</v>
      </c>
      <c r="F66" s="360">
        <f>(F65/(100%+B64))*B64</f>
        <v>0</v>
      </c>
      <c r="G66" s="360">
        <f>(G65/(100%+B64))*B64</f>
        <v>0</v>
      </c>
      <c r="H66" s="360">
        <f>(H65/(100%+B64))*B64</f>
        <v>1117.1672240802677</v>
      </c>
      <c r="I66" s="360">
        <f>(I65/(100%+B64))*B64</f>
        <v>0</v>
      </c>
      <c r="J66" s="360">
        <f>(J65/(100%+B64))*B64</f>
        <v>0</v>
      </c>
      <c r="K66" s="360">
        <f>(K65/(100%+B64))*B64</f>
        <v>1117.1672240802677</v>
      </c>
      <c r="L66" s="360">
        <f>(L65/(100%+B64))*B64</f>
        <v>0</v>
      </c>
      <c r="M66" s="360">
        <f>(M65/(100%+B64))*B64</f>
        <v>0</v>
      </c>
      <c r="N66" s="360">
        <f>(N65/(100%+B64))*B64</f>
        <v>0</v>
      </c>
      <c r="O66" s="360">
        <f>(O65/(100%+B64))*B64</f>
        <v>0</v>
      </c>
      <c r="P66" s="360">
        <f>(P65/(100%+B64))*B64</f>
        <v>0</v>
      </c>
    </row>
    <row r="67" spans="1:16">
      <c r="A67" s="69"/>
      <c r="B67" s="69" t="s">
        <v>257</v>
      </c>
      <c r="C67" s="273"/>
      <c r="D67" s="360">
        <f>SUM(D15:D36)+D40+D42-D25-D29</f>
        <v>0</v>
      </c>
      <c r="E67" s="494">
        <f>SUM(E15:E36)+E40+E42-E25-E29+E58</f>
        <v>1650.7396666666668</v>
      </c>
      <c r="F67" s="360">
        <f t="shared" ref="F67:P67" si="24">SUM(F15:F36)+F40+F42-F25-F29</f>
        <v>361.61166666666662</v>
      </c>
      <c r="G67" s="360">
        <f t="shared" si="24"/>
        <v>361.61166666666662</v>
      </c>
      <c r="H67" s="360">
        <f t="shared" si="24"/>
        <v>906.97166666666669</v>
      </c>
      <c r="I67" s="360">
        <f t="shared" si="24"/>
        <v>361.61166666666662</v>
      </c>
      <c r="J67" s="360">
        <f t="shared" si="24"/>
        <v>361.61166666666662</v>
      </c>
      <c r="K67" s="360">
        <f t="shared" si="24"/>
        <v>906.97166666666669</v>
      </c>
      <c r="L67" s="360">
        <f t="shared" si="24"/>
        <v>361.61166666666662</v>
      </c>
      <c r="M67" s="360">
        <f t="shared" si="24"/>
        <v>361.61166666666662</v>
      </c>
      <c r="N67" s="360">
        <f t="shared" si="24"/>
        <v>361.61166666666662</v>
      </c>
      <c r="O67" s="360">
        <f t="shared" si="24"/>
        <v>361.61166666666662</v>
      </c>
      <c r="P67" s="360">
        <f t="shared" si="24"/>
        <v>361.61166666666662</v>
      </c>
    </row>
    <row r="68" spans="1:16">
      <c r="A68" s="69"/>
      <c r="B68" s="69" t="s">
        <v>256</v>
      </c>
      <c r="C68" s="273"/>
      <c r="D68" s="265">
        <f>'1.0 Plan de financement'!C21+'1.0 Plan de financement'!C22+(D67/1.196*0.196)</f>
        <v>1313.1999999999998</v>
      </c>
      <c r="E68" s="494">
        <f>E67/119.6*19.6</f>
        <v>270.52255406911934</v>
      </c>
      <c r="F68" s="360">
        <f t="shared" ref="F68:P68" si="25">F67/119.6*19.6</f>
        <v>59.260774804905239</v>
      </c>
      <c r="G68" s="360">
        <f t="shared" si="25"/>
        <v>59.260774804905239</v>
      </c>
      <c r="H68" s="360">
        <f t="shared" si="25"/>
        <v>148.63415273132668</v>
      </c>
      <c r="I68" s="360">
        <f t="shared" si="25"/>
        <v>59.260774804905239</v>
      </c>
      <c r="J68" s="360">
        <f t="shared" si="25"/>
        <v>59.260774804905239</v>
      </c>
      <c r="K68" s="360">
        <f t="shared" si="25"/>
        <v>148.63415273132668</v>
      </c>
      <c r="L68" s="360">
        <f t="shared" si="25"/>
        <v>59.260774804905239</v>
      </c>
      <c r="M68" s="360">
        <f t="shared" si="25"/>
        <v>59.260774804905239</v>
      </c>
      <c r="N68" s="360">
        <f t="shared" si="25"/>
        <v>59.260774804905239</v>
      </c>
      <c r="O68" s="360">
        <f t="shared" si="25"/>
        <v>59.260774804905239</v>
      </c>
      <c r="P68" s="360">
        <f t="shared" si="25"/>
        <v>59.260774804905239</v>
      </c>
    </row>
    <row r="69" spans="1:16">
      <c r="A69" s="69"/>
      <c r="B69" s="69" t="s">
        <v>260</v>
      </c>
      <c r="C69" s="273"/>
      <c r="D69" s="360">
        <f>IF(C71&gt;0,D68,D68-C70)</f>
        <v>1313.1999999999998</v>
      </c>
      <c r="E69" s="494">
        <f>IF(D71&gt;0,E68,E68-D70)</f>
        <v>1583.7225540691193</v>
      </c>
      <c r="F69" s="360">
        <f>IF(E71&gt;0,F68,F68-E70)</f>
        <v>153.38332887402436</v>
      </c>
      <c r="G69" s="360">
        <f t="shared" ref="G69:P69" si="26">IF(F71&gt;0,G68,G68-F70)</f>
        <v>212.64410367892958</v>
      </c>
      <c r="H69" s="360">
        <f t="shared" si="26"/>
        <v>361.27825641025629</v>
      </c>
      <c r="I69" s="360">
        <f t="shared" si="26"/>
        <v>59.260774804905239</v>
      </c>
      <c r="J69" s="360">
        <f t="shared" si="26"/>
        <v>118.52154960981048</v>
      </c>
      <c r="K69" s="360">
        <f t="shared" si="26"/>
        <v>267.15570234113716</v>
      </c>
      <c r="L69" s="360">
        <f t="shared" si="26"/>
        <v>59.260774804905239</v>
      </c>
      <c r="M69" s="360">
        <f t="shared" si="26"/>
        <v>118.52154960981048</v>
      </c>
      <c r="N69" s="360">
        <f t="shared" si="26"/>
        <v>177.78232441471573</v>
      </c>
      <c r="O69" s="360">
        <f t="shared" si="26"/>
        <v>237.04309921962096</v>
      </c>
      <c r="P69" s="360">
        <f t="shared" si="26"/>
        <v>296.30387402452618</v>
      </c>
    </row>
    <row r="70" spans="1:16">
      <c r="A70" s="69"/>
      <c r="B70" s="69" t="s">
        <v>258</v>
      </c>
      <c r="C70" s="273"/>
      <c r="D70" s="360">
        <f>D66-D68</f>
        <v>-1313.1999999999998</v>
      </c>
      <c r="E70" s="494">
        <f>E66-E69</f>
        <v>-94.122554069119133</v>
      </c>
      <c r="F70" s="360">
        <f>F66-F69</f>
        <v>-153.38332887402436</v>
      </c>
      <c r="G70" s="360">
        <f>G66-G69</f>
        <v>-212.64410367892958</v>
      </c>
      <c r="H70" s="360">
        <f>IF(G70&gt;0,H66-H69,H66-H69)</f>
        <v>755.88896767001143</v>
      </c>
      <c r="I70" s="360">
        <f t="shared" ref="I70:P70" si="27">IF(H70&gt;0,I66-I69,I66-I69)</f>
        <v>-59.260774804905239</v>
      </c>
      <c r="J70" s="360">
        <f t="shared" si="27"/>
        <v>-118.52154960981048</v>
      </c>
      <c r="K70" s="360">
        <f t="shared" si="27"/>
        <v>850.01152173913056</v>
      </c>
      <c r="L70" s="360">
        <f t="shared" si="27"/>
        <v>-59.260774804905239</v>
      </c>
      <c r="M70" s="360">
        <f t="shared" si="27"/>
        <v>-118.52154960981048</v>
      </c>
      <c r="N70" s="360">
        <f t="shared" si="27"/>
        <v>-177.78232441471573</v>
      </c>
      <c r="O70" s="360">
        <f t="shared" si="27"/>
        <v>-237.04309921962096</v>
      </c>
      <c r="P70" s="360">
        <f t="shared" si="27"/>
        <v>-296.30387402452618</v>
      </c>
    </row>
    <row r="71" spans="1:16">
      <c r="A71" s="69"/>
      <c r="B71" s="69" t="s">
        <v>221</v>
      </c>
      <c r="C71" s="273"/>
      <c r="D71" s="360">
        <v>0</v>
      </c>
      <c r="E71" s="494">
        <f>IF(E70&lt;0,0,E70)</f>
        <v>0</v>
      </c>
      <c r="F71" s="360">
        <f>IF(F70&lt;0,0,F70)</f>
        <v>0</v>
      </c>
      <c r="G71" s="360">
        <f t="shared" ref="G71:P71" si="28">IF(G70&lt;0,0,G70)</f>
        <v>0</v>
      </c>
      <c r="H71" s="360">
        <f t="shared" si="28"/>
        <v>755.88896767001143</v>
      </c>
      <c r="I71" s="360">
        <f t="shared" si="28"/>
        <v>0</v>
      </c>
      <c r="J71" s="360">
        <f t="shared" si="28"/>
        <v>0</v>
      </c>
      <c r="K71" s="360">
        <f t="shared" si="28"/>
        <v>850.01152173913056</v>
      </c>
      <c r="L71" s="360">
        <f t="shared" si="28"/>
        <v>0</v>
      </c>
      <c r="M71" s="360">
        <f t="shared" si="28"/>
        <v>0</v>
      </c>
      <c r="N71" s="360">
        <f t="shared" si="28"/>
        <v>0</v>
      </c>
      <c r="O71" s="360">
        <f t="shared" si="28"/>
        <v>0</v>
      </c>
      <c r="P71" s="360">
        <f t="shared" si="28"/>
        <v>0</v>
      </c>
    </row>
    <row r="72" spans="1:16">
      <c r="A72" s="69"/>
      <c r="B72" s="69"/>
      <c r="C72" s="69"/>
      <c r="D72" s="169"/>
      <c r="E72" s="483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</row>
    <row r="73" spans="1:16">
      <c r="A73" s="69"/>
      <c r="B73" s="69"/>
      <c r="C73" s="69"/>
      <c r="D73" s="169"/>
      <c r="E73" s="483"/>
      <c r="F73" s="169"/>
      <c r="G73" s="169"/>
      <c r="H73" s="169" t="s">
        <v>0</v>
      </c>
      <c r="I73" s="169"/>
      <c r="J73" s="169"/>
      <c r="K73" s="169"/>
      <c r="L73" s="169"/>
      <c r="M73" s="169"/>
      <c r="N73" s="169"/>
      <c r="O73" s="169"/>
    </row>
    <row r="79" spans="1:16" ht="18" customHeight="1"/>
    <row r="80" spans="1:16" ht="13.5" customHeight="1"/>
    <row r="89" ht="18" customHeight="1"/>
    <row r="90" ht="14.25" customHeight="1"/>
    <row r="128" ht="18" customHeight="1"/>
    <row r="129" spans="1:1" ht="6" customHeight="1"/>
    <row r="130" spans="1:1" ht="18" customHeight="1"/>
    <row r="131" spans="1:1" ht="6" customHeight="1"/>
    <row r="132" spans="1:1" ht="18" customHeight="1"/>
    <row r="133" spans="1:1" ht="6" customHeight="1"/>
    <row r="134" spans="1:1">
      <c r="A134" s="29"/>
    </row>
    <row r="135" spans="1:1">
      <c r="A135" s="29"/>
    </row>
    <row r="136" spans="1:1">
      <c r="A136" s="29"/>
    </row>
    <row r="143" spans="1:1" ht="18" customHeight="1"/>
    <row r="144" spans="1:1" ht="6" customHeight="1"/>
    <row r="153" ht="18" customHeight="1"/>
    <row r="154" ht="6" customHeight="1"/>
    <row r="192" ht="18" customHeight="1"/>
    <row r="193" ht="6" customHeight="1"/>
    <row r="194" ht="18" customHeight="1"/>
    <row r="195" ht="6" customHeight="1"/>
    <row r="196" ht="18" customHeight="1"/>
    <row r="197" ht="6" customHeight="1"/>
  </sheetData>
  <mergeCells count="5">
    <mergeCell ref="A62:B62"/>
    <mergeCell ref="A1:O1"/>
    <mergeCell ref="A12:B12"/>
    <mergeCell ref="A60:B60"/>
    <mergeCell ref="A61:B6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1" orientation="portrait" horizontalDpi="4294967292"/>
  <headerFooter alignWithMargins="0">
    <oddHeader>&amp;R4,0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4" enableFormatConditionsCalculation="0">
    <pageSetUpPr fitToPage="1"/>
  </sheetPr>
  <dimension ref="A1:L55"/>
  <sheetViews>
    <sheetView zoomScale="75" workbookViewId="0">
      <selection activeCell="E52" sqref="E52"/>
    </sheetView>
  </sheetViews>
  <sheetFormatPr baseColWidth="10" defaultRowHeight="12.75"/>
  <cols>
    <col min="1" max="1" width="43.140625" bestFit="1" customWidth="1"/>
    <col min="2" max="2" width="7" customWidth="1"/>
    <col min="3" max="3" width="10.85546875" style="49"/>
    <col min="4" max="4" width="3" customWidth="1"/>
    <col min="6" max="6" width="3.140625" customWidth="1"/>
    <col min="8" max="8" width="2.7109375" customWidth="1"/>
    <col min="10" max="10" width="3.28515625" customWidth="1"/>
  </cols>
  <sheetData>
    <row r="1" spans="1:11" ht="23.25" thickBot="1">
      <c r="A1" s="740" t="s">
        <v>364</v>
      </c>
      <c r="B1" s="741"/>
      <c r="C1" s="787"/>
    </row>
    <row r="3" spans="1:11" ht="15.75">
      <c r="C3" s="413">
        <v>2005</v>
      </c>
      <c r="E3" s="414">
        <v>2004</v>
      </c>
      <c r="F3" s="414"/>
      <c r="G3" s="414">
        <v>2003</v>
      </c>
      <c r="I3" s="414">
        <v>2002</v>
      </c>
      <c r="K3" s="414">
        <v>2001</v>
      </c>
    </row>
    <row r="5" spans="1:11">
      <c r="A5" t="s">
        <v>169</v>
      </c>
      <c r="C5" s="49">
        <v>1E-3</v>
      </c>
      <c r="E5" s="49">
        <v>1E-3</v>
      </c>
      <c r="F5" s="49"/>
      <c r="G5" s="49">
        <v>1E-3</v>
      </c>
      <c r="I5" s="49">
        <v>1E-3</v>
      </c>
      <c r="K5" s="49">
        <v>1E-3</v>
      </c>
    </row>
    <row r="6" spans="1:11">
      <c r="A6" t="s">
        <v>365</v>
      </c>
      <c r="C6" s="49">
        <v>1E-3</v>
      </c>
      <c r="E6" s="49">
        <v>1E-3</v>
      </c>
      <c r="F6" s="49"/>
      <c r="G6" s="49">
        <v>1E-3</v>
      </c>
      <c r="I6" s="49">
        <v>1E-3</v>
      </c>
      <c r="K6" s="49">
        <v>1E-3</v>
      </c>
    </row>
    <row r="7" spans="1:11">
      <c r="A7" t="s">
        <v>366</v>
      </c>
      <c r="C7" s="49">
        <v>1E-3</v>
      </c>
      <c r="E7" s="49">
        <v>1E-3</v>
      </c>
      <c r="F7" s="49"/>
      <c r="G7" s="49">
        <v>1E-3</v>
      </c>
      <c r="I7" s="49">
        <v>1E-3</v>
      </c>
      <c r="K7" s="49">
        <v>1E-3</v>
      </c>
    </row>
    <row r="8" spans="1:11">
      <c r="A8" s="480" t="s">
        <v>369</v>
      </c>
      <c r="B8" s="1"/>
      <c r="C8" s="417">
        <f>SUM(C5:C7)</f>
        <v>3.0000000000000001E-3</v>
      </c>
      <c r="E8" s="417">
        <f>SUM(E5:E7)</f>
        <v>3.0000000000000001E-3</v>
      </c>
      <c r="F8" s="418"/>
      <c r="G8" s="417">
        <f>SUM(G5:G7)</f>
        <v>3.0000000000000001E-3</v>
      </c>
      <c r="I8" s="417">
        <f>SUM(I5:I7)</f>
        <v>3.0000000000000001E-3</v>
      </c>
      <c r="K8" s="417">
        <f>SUM(K5:K7)</f>
        <v>3.0000000000000001E-3</v>
      </c>
    </row>
    <row r="9" spans="1:11">
      <c r="E9" s="49"/>
      <c r="F9" s="419"/>
      <c r="G9" s="49"/>
      <c r="I9" s="49"/>
      <c r="K9" s="49"/>
    </row>
    <row r="10" spans="1:11">
      <c r="A10" t="s">
        <v>367</v>
      </c>
      <c r="C10" s="49">
        <v>1.0000000000100001E-3</v>
      </c>
      <c r="E10" s="49">
        <v>1.0000000000100001E-3</v>
      </c>
      <c r="F10" s="419"/>
      <c r="G10" s="49">
        <v>1.0000000000100001E-3</v>
      </c>
      <c r="I10" s="49">
        <v>1.0000000000100001E-3</v>
      </c>
      <c r="K10" s="49">
        <v>1.0000000000100001E-3</v>
      </c>
    </row>
    <row r="11" spans="1:11">
      <c r="A11" t="s">
        <v>392</v>
      </c>
      <c r="C11" s="49">
        <v>-1E-3</v>
      </c>
      <c r="E11" s="49">
        <v>-1E-3</v>
      </c>
      <c r="F11" s="419"/>
      <c r="G11" s="49">
        <v>-1E-3</v>
      </c>
      <c r="I11" s="49">
        <v>-1E-3</v>
      </c>
      <c r="K11" s="49">
        <v>-1E-3</v>
      </c>
    </row>
    <row r="12" spans="1:11">
      <c r="A12" t="s">
        <v>368</v>
      </c>
      <c r="C12" s="49">
        <v>1E-3</v>
      </c>
      <c r="E12" s="49">
        <v>1E-3</v>
      </c>
      <c r="F12" s="419"/>
      <c r="G12" s="49">
        <v>1E-3</v>
      </c>
      <c r="I12" s="49">
        <v>1E-3</v>
      </c>
      <c r="K12" s="49">
        <v>1E-3</v>
      </c>
    </row>
    <row r="13" spans="1:11">
      <c r="A13" t="s">
        <v>393</v>
      </c>
      <c r="C13" s="49">
        <v>-1E-3</v>
      </c>
      <c r="E13" s="49">
        <v>-1E-3</v>
      </c>
      <c r="F13" s="419"/>
      <c r="G13" s="49">
        <v>-1E-3</v>
      </c>
      <c r="I13" s="49">
        <v>-1E-3</v>
      </c>
      <c r="K13" s="49">
        <v>-1E-3</v>
      </c>
    </row>
    <row r="14" spans="1:11">
      <c r="A14" s="480" t="s">
        <v>370</v>
      </c>
      <c r="B14" s="1"/>
      <c r="C14" s="417">
        <f>SUM(C10:C13)</f>
        <v>1.0000030317702802E-14</v>
      </c>
      <c r="E14" s="417">
        <f>SUM(E10:E13)</f>
        <v>1.0000030317702802E-14</v>
      </c>
      <c r="F14" s="418"/>
      <c r="G14" s="417">
        <f>SUM(G10:G13)</f>
        <v>1.0000030317702802E-14</v>
      </c>
      <c r="I14" s="417">
        <f>SUM(I10:I13)</f>
        <v>1.0000030317702802E-14</v>
      </c>
      <c r="K14" s="417">
        <f>SUM(K10:K13)</f>
        <v>1.0000030317702802E-14</v>
      </c>
    </row>
    <row r="15" spans="1:11">
      <c r="E15" s="49"/>
      <c r="F15" s="419"/>
      <c r="G15" s="49"/>
      <c r="I15" s="49"/>
      <c r="K15" s="49"/>
    </row>
    <row r="16" spans="1:11">
      <c r="E16" s="49"/>
      <c r="F16" s="419"/>
      <c r="G16" s="49"/>
      <c r="I16" s="49"/>
      <c r="K16" s="49"/>
    </row>
    <row r="17" spans="1:12">
      <c r="A17" t="s">
        <v>372</v>
      </c>
      <c r="C17" s="406">
        <f>C5-(C10+C11)</f>
        <v>9.9999999998999999E-4</v>
      </c>
      <c r="E17" s="406">
        <f>E5-(E10+E11)</f>
        <v>9.9999999998999999E-4</v>
      </c>
      <c r="F17" s="419"/>
      <c r="G17" s="406">
        <f>G5-(G10+G11)</f>
        <v>9.9999999998999999E-4</v>
      </c>
      <c r="I17" s="406">
        <f>I5-(I10+I11)</f>
        <v>9.9999999998999999E-4</v>
      </c>
      <c r="K17" s="406">
        <f>K5-(K10+K11)</f>
        <v>9.9999999998999999E-4</v>
      </c>
    </row>
    <row r="18" spans="1:12">
      <c r="A18" t="s">
        <v>373</v>
      </c>
      <c r="C18" s="412">
        <f>C17/C5</f>
        <v>0.99999999999</v>
      </c>
      <c r="E18" s="412">
        <f>E17/E5</f>
        <v>0.99999999999</v>
      </c>
      <c r="F18" s="420"/>
      <c r="G18" s="412">
        <f>G17/G5</f>
        <v>0.99999999999</v>
      </c>
      <c r="I18" s="412">
        <f>I17/I5</f>
        <v>0.99999999999</v>
      </c>
      <c r="K18" s="412">
        <f>K17/K5</f>
        <v>0.99999999999</v>
      </c>
    </row>
    <row r="19" spans="1:12">
      <c r="E19" s="49"/>
      <c r="F19" s="419"/>
      <c r="G19" s="49"/>
      <c r="I19" s="49"/>
      <c r="K19" s="49"/>
    </row>
    <row r="20" spans="1:12">
      <c r="A20" t="s">
        <v>374</v>
      </c>
      <c r="C20" s="406">
        <f>(C6+C7)-(C12+C13)</f>
        <v>2E-3</v>
      </c>
      <c r="E20" s="406">
        <f>(E6+E7)-(E12+E13)</f>
        <v>2E-3</v>
      </c>
      <c r="F20" s="419"/>
      <c r="G20" s="406">
        <f>(G6+G7)-(G12+G13)</f>
        <v>2E-3</v>
      </c>
      <c r="I20" s="406">
        <f>(I6+I7)-(I12+I13)</f>
        <v>2E-3</v>
      </c>
      <c r="K20" s="406">
        <f>(K6+K7)-(K12+K13)</f>
        <v>2E-3</v>
      </c>
    </row>
    <row r="21" spans="1:12">
      <c r="A21" t="s">
        <v>375</v>
      </c>
      <c r="C21" s="412">
        <f>C20/(C6+C7)</f>
        <v>1</v>
      </c>
      <c r="E21" s="412">
        <f>E20/(E6+E7)</f>
        <v>1</v>
      </c>
      <c r="F21" s="420"/>
      <c r="G21" s="412">
        <f>G20/(G6+G7)</f>
        <v>1</v>
      </c>
      <c r="I21" s="412">
        <f>I20/(I6+I7)</f>
        <v>1</v>
      </c>
      <c r="K21" s="412">
        <f>K20/(K6+K7)</f>
        <v>1</v>
      </c>
    </row>
    <row r="22" spans="1:12">
      <c r="E22" s="49"/>
      <c r="F22" s="419"/>
      <c r="G22" s="49"/>
      <c r="I22" s="49"/>
      <c r="K22" s="49"/>
    </row>
    <row r="23" spans="1:12">
      <c r="E23" s="49"/>
      <c r="F23" s="419"/>
      <c r="G23" s="49"/>
      <c r="I23" s="49"/>
      <c r="K23" s="49"/>
    </row>
    <row r="24" spans="1:12" ht="13.5" thickBot="1">
      <c r="A24" t="s">
        <v>371</v>
      </c>
      <c r="C24" s="406">
        <f>C17+C20</f>
        <v>2.9999999999900002E-3</v>
      </c>
      <c r="E24" s="406">
        <f>E17+E20</f>
        <v>2.9999999999900002E-3</v>
      </c>
      <c r="F24" s="419"/>
      <c r="G24" s="406">
        <f>G17+G20</f>
        <v>2.9999999999900002E-3</v>
      </c>
      <c r="I24" s="406">
        <f>I17+I20</f>
        <v>2.9999999999900002E-3</v>
      </c>
      <c r="K24" s="406">
        <f>K17+K20</f>
        <v>2.9999999999900002E-3</v>
      </c>
      <c r="L24" s="2"/>
    </row>
    <row r="25" spans="1:12" ht="13.5" thickBot="1">
      <c r="A25" s="480" t="s">
        <v>390</v>
      </c>
      <c r="B25" s="1"/>
      <c r="C25" s="415">
        <f>C24/C8</f>
        <v>0.99999999999666678</v>
      </c>
      <c r="E25" s="415">
        <f>E24/E8</f>
        <v>0.99999999999666678</v>
      </c>
      <c r="F25" s="421"/>
      <c r="G25" s="415">
        <f>G24/G8</f>
        <v>0.99999999999666678</v>
      </c>
      <c r="I25" s="415">
        <f>I24/I8</f>
        <v>0.99999999999666678</v>
      </c>
      <c r="K25" s="415">
        <f>K24/K8</f>
        <v>0.99999999999666678</v>
      </c>
    </row>
    <row r="26" spans="1:12">
      <c r="E26" s="49"/>
      <c r="F26" s="419"/>
      <c r="G26" s="49"/>
      <c r="I26" s="49"/>
      <c r="K26" s="49"/>
    </row>
    <row r="27" spans="1:12">
      <c r="E27" s="49"/>
      <c r="F27" s="419"/>
      <c r="G27" s="49"/>
      <c r="I27" s="49"/>
      <c r="K27" s="49"/>
    </row>
    <row r="28" spans="1:12">
      <c r="A28" t="s">
        <v>376</v>
      </c>
      <c r="C28" s="49">
        <v>0</v>
      </c>
      <c r="E28" s="49">
        <v>0</v>
      </c>
      <c r="F28" s="419"/>
      <c r="G28" s="49">
        <v>0</v>
      </c>
      <c r="I28" s="49">
        <v>0</v>
      </c>
      <c r="K28" s="49">
        <v>0</v>
      </c>
    </row>
    <row r="29" spans="1:12">
      <c r="A29" t="s">
        <v>102</v>
      </c>
      <c r="C29" s="49">
        <v>0</v>
      </c>
      <c r="E29" s="49">
        <v>0</v>
      </c>
      <c r="F29" s="419"/>
      <c r="G29" s="49">
        <v>0</v>
      </c>
      <c r="I29" s="49">
        <v>0</v>
      </c>
      <c r="K29" s="49">
        <v>0</v>
      </c>
    </row>
    <row r="30" spans="1:12">
      <c r="A30" s="481" t="s">
        <v>377</v>
      </c>
      <c r="B30" s="1"/>
      <c r="C30" s="411">
        <f>C8-C28-C29</f>
        <v>3.0000000000000001E-3</v>
      </c>
      <c r="E30" s="411">
        <f>E8-E28-E29</f>
        <v>3.0000000000000001E-3</v>
      </c>
      <c r="F30" s="419"/>
      <c r="G30" s="411">
        <f>G8-G28-G29</f>
        <v>3.0000000000000001E-3</v>
      </c>
      <c r="I30" s="411">
        <f>I8-I28-I29</f>
        <v>3.0000000000000001E-3</v>
      </c>
      <c r="K30" s="411">
        <f>K8-K28-K29</f>
        <v>3.0000000000000001E-3</v>
      </c>
    </row>
    <row r="31" spans="1:12">
      <c r="E31" s="49"/>
      <c r="F31" s="419"/>
      <c r="G31" s="49"/>
      <c r="I31" s="49"/>
      <c r="K31" s="49"/>
    </row>
    <row r="32" spans="1:12">
      <c r="A32" t="s">
        <v>471</v>
      </c>
      <c r="E32" s="49"/>
      <c r="F32" s="419"/>
      <c r="G32" s="49"/>
      <c r="I32" s="49"/>
      <c r="K32" s="49"/>
    </row>
    <row r="33" spans="1:11">
      <c r="A33" t="s">
        <v>383</v>
      </c>
      <c r="B33" s="407"/>
      <c r="C33" s="407">
        <v>1</v>
      </c>
      <c r="E33" s="407">
        <v>1</v>
      </c>
      <c r="F33" s="422"/>
      <c r="G33" s="407">
        <v>1</v>
      </c>
      <c r="I33" s="407">
        <v>1</v>
      </c>
      <c r="K33" s="407">
        <v>1</v>
      </c>
    </row>
    <row r="34" spans="1:11">
      <c r="A34" t="s">
        <v>384</v>
      </c>
      <c r="B34" s="410">
        <v>1</v>
      </c>
      <c r="C34" s="408">
        <v>0</v>
      </c>
      <c r="E34" s="408">
        <v>0</v>
      </c>
      <c r="F34" s="422"/>
      <c r="G34" s="408">
        <v>0</v>
      </c>
      <c r="I34" s="408">
        <v>0</v>
      </c>
      <c r="K34" s="408">
        <v>0</v>
      </c>
    </row>
    <row r="35" spans="1:11">
      <c r="A35" t="s">
        <v>385</v>
      </c>
      <c r="B35" s="408"/>
      <c r="C35" s="408">
        <v>0</v>
      </c>
      <c r="E35" s="408">
        <v>0</v>
      </c>
      <c r="F35" s="422"/>
      <c r="G35" s="408">
        <v>0</v>
      </c>
      <c r="I35" s="408">
        <v>0</v>
      </c>
      <c r="K35" s="408">
        <v>0</v>
      </c>
    </row>
    <row r="36" spans="1:11">
      <c r="A36" s="481" t="s">
        <v>386</v>
      </c>
      <c r="B36" s="409"/>
      <c r="C36" s="412">
        <f>(19.6%*C33)+(5.5%*C34)+(0%*C35)</f>
        <v>0.19600000000000001</v>
      </c>
      <c r="E36" s="412">
        <f>(19.6%*E33)+(5.5%*E34)+(0%*E35)</f>
        <v>0.19600000000000001</v>
      </c>
      <c r="F36" s="420"/>
      <c r="G36" s="412">
        <f>(19.6%*G33)+(5.5%*G34)+(0%*G35)</f>
        <v>0.19600000000000001</v>
      </c>
      <c r="I36" s="412">
        <f>(19.6%*I33)+(5.5%*I34)+(0%*I35)</f>
        <v>0.19600000000000001</v>
      </c>
      <c r="K36" s="412">
        <f>(19.6%*K33)+(5.5%*K34)+(0%*K35)</f>
        <v>0.19600000000000001</v>
      </c>
    </row>
    <row r="37" spans="1:11">
      <c r="E37" s="49"/>
      <c r="F37" s="419"/>
      <c r="G37" s="49"/>
      <c r="I37" s="49"/>
      <c r="K37" s="49"/>
    </row>
    <row r="38" spans="1:11">
      <c r="E38" s="49"/>
      <c r="F38" s="419"/>
      <c r="G38" s="49"/>
      <c r="I38" s="49"/>
      <c r="K38" s="49"/>
    </row>
    <row r="39" spans="1:11">
      <c r="A39" t="s">
        <v>378</v>
      </c>
      <c r="C39" s="49">
        <v>0</v>
      </c>
      <c r="E39" s="49">
        <v>0</v>
      </c>
      <c r="F39" s="419"/>
      <c r="G39" s="49">
        <v>0</v>
      </c>
      <c r="I39" s="49">
        <v>0</v>
      </c>
      <c r="K39" s="49">
        <v>0</v>
      </c>
    </row>
    <row r="40" spans="1:11">
      <c r="A40" t="s">
        <v>379</v>
      </c>
      <c r="C40" s="49">
        <v>0</v>
      </c>
      <c r="E40" s="49">
        <v>0</v>
      </c>
      <c r="F40" s="419"/>
      <c r="G40" s="49">
        <v>0</v>
      </c>
      <c r="I40" s="49">
        <v>0</v>
      </c>
      <c r="K40" s="49">
        <v>0</v>
      </c>
    </row>
    <row r="41" spans="1:11" ht="13.5" thickBot="1">
      <c r="A41" t="s">
        <v>380</v>
      </c>
      <c r="C41" s="406">
        <f>SUM(C39:C40)</f>
        <v>0</v>
      </c>
      <c r="E41" s="406">
        <f>SUM(E39:E40)</f>
        <v>0</v>
      </c>
      <c r="F41" s="419"/>
      <c r="G41" s="406">
        <f>SUM(G39:G40)</f>
        <v>0</v>
      </c>
      <c r="I41" s="406">
        <f>SUM(I39:I40)</f>
        <v>0</v>
      </c>
      <c r="K41" s="406">
        <f>SUM(K39:K40)</f>
        <v>0</v>
      </c>
    </row>
    <row r="42" spans="1:11" ht="13.5" thickBot="1">
      <c r="A42" s="480" t="s">
        <v>382</v>
      </c>
      <c r="B42" s="424" t="s">
        <v>391</v>
      </c>
      <c r="C42" s="416">
        <f>(C41/C14)*365</f>
        <v>0</v>
      </c>
      <c r="E42" s="416">
        <f>(E41/E14)*365</f>
        <v>0</v>
      </c>
      <c r="F42" s="418"/>
      <c r="G42" s="416">
        <f>(G41/G14)*365</f>
        <v>0</v>
      </c>
      <c r="I42" s="416">
        <f>(I41/I14)*365</f>
        <v>0</v>
      </c>
      <c r="K42" s="416">
        <f>(K41/K14)*365</f>
        <v>0</v>
      </c>
    </row>
    <row r="43" spans="1:11">
      <c r="B43" s="1"/>
      <c r="E43" s="49"/>
      <c r="F43" s="419"/>
      <c r="G43" s="49"/>
      <c r="I43" s="49"/>
      <c r="K43" s="49"/>
    </row>
    <row r="44" spans="1:11" ht="13.5" thickBot="1">
      <c r="A44" t="s">
        <v>381</v>
      </c>
      <c r="B44" s="1"/>
      <c r="C44" s="49">
        <v>0</v>
      </c>
      <c r="E44" s="49">
        <v>0</v>
      </c>
      <c r="F44" s="419"/>
      <c r="G44" s="49">
        <v>0</v>
      </c>
      <c r="I44" s="49">
        <v>0</v>
      </c>
      <c r="K44" s="49">
        <v>0</v>
      </c>
    </row>
    <row r="45" spans="1:11" ht="13.5" thickBot="1">
      <c r="A45" s="480" t="s">
        <v>387</v>
      </c>
      <c r="B45" s="424" t="s">
        <v>391</v>
      </c>
      <c r="C45" s="416">
        <f>(C44/((1+C36)*C8))*365</f>
        <v>0</v>
      </c>
      <c r="E45" s="416">
        <f>(E44/((1+E36)*E8))*365</f>
        <v>0</v>
      </c>
      <c r="F45" s="418"/>
      <c r="G45" s="416">
        <f>(G44/((1+G36)*G8))*365</f>
        <v>0</v>
      </c>
      <c r="I45" s="416">
        <f>(I44/((1+I36)*I8))*365</f>
        <v>0</v>
      </c>
      <c r="K45" s="416">
        <f>(K44/((1+K36)*K8))*365</f>
        <v>0</v>
      </c>
    </row>
    <row r="46" spans="1:11">
      <c r="B46" s="1"/>
      <c r="E46" s="49"/>
      <c r="F46" s="419"/>
      <c r="G46" s="49"/>
      <c r="I46" s="49"/>
      <c r="K46" s="49"/>
    </row>
    <row r="47" spans="1:11" ht="13.5" thickBot="1">
      <c r="A47" t="s">
        <v>388</v>
      </c>
      <c r="B47" s="1"/>
      <c r="C47" s="49">
        <v>0</v>
      </c>
      <c r="E47" s="49">
        <v>0</v>
      </c>
      <c r="F47" s="419"/>
      <c r="G47" s="49">
        <v>0</v>
      </c>
      <c r="I47" s="49">
        <v>0</v>
      </c>
      <c r="K47" s="49">
        <v>0</v>
      </c>
    </row>
    <row r="48" spans="1:11" ht="13.5" thickBot="1">
      <c r="A48" s="480" t="s">
        <v>389</v>
      </c>
      <c r="B48" s="424" t="s">
        <v>391</v>
      </c>
      <c r="C48" s="416">
        <f>(C47/(C14*1.196))*365</f>
        <v>0</v>
      </c>
      <c r="E48" s="416">
        <f>(E47/(E14*1.196))*365</f>
        <v>0</v>
      </c>
      <c r="F48" s="418"/>
      <c r="G48" s="416">
        <f>(G47/(G14*1.196))*365</f>
        <v>0</v>
      </c>
      <c r="I48" s="416">
        <f>(I47/(I14*1.196))*365</f>
        <v>0</v>
      </c>
      <c r="K48" s="416">
        <f>(K47/(K14*1.196))*365</f>
        <v>0</v>
      </c>
    </row>
    <row r="49" spans="6:6">
      <c r="F49" s="423"/>
    </row>
    <row r="50" spans="6:6">
      <c r="F50" s="423"/>
    </row>
    <row r="51" spans="6:6">
      <c r="F51" s="423"/>
    </row>
    <row r="52" spans="6:6">
      <c r="F52" s="423"/>
    </row>
    <row r="53" spans="6:6">
      <c r="F53" s="423"/>
    </row>
    <row r="54" spans="6:6">
      <c r="F54" s="423"/>
    </row>
    <row r="55" spans="6:6">
      <c r="F55" s="423"/>
    </row>
  </sheetData>
  <mergeCells count="1">
    <mergeCell ref="A1:C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portrait"/>
  <headerFooter alignWithMargins="0">
    <oddHeader>&amp;R5,0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5" enableFormatConditionsCalculation="0"/>
  <dimension ref="A1:H96"/>
  <sheetViews>
    <sheetView zoomScale="85" workbookViewId="0">
      <selection activeCell="B17" sqref="B17"/>
    </sheetView>
  </sheetViews>
  <sheetFormatPr baseColWidth="10" defaultColWidth="10.85546875" defaultRowHeight="15.75"/>
  <cols>
    <col min="1" max="1" width="38.85546875" style="8" customWidth="1"/>
    <col min="2" max="2" width="13" style="48" customWidth="1"/>
    <col min="3" max="3" width="8.7109375" style="8" bestFit="1" customWidth="1"/>
    <col min="4" max="4" width="12.85546875" style="48" customWidth="1"/>
    <col min="5" max="5" width="8.42578125" style="8" bestFit="1" customWidth="1"/>
    <col min="6" max="6" width="12.7109375" style="193" customWidth="1"/>
    <col min="7" max="7" width="8.42578125" style="8" bestFit="1" customWidth="1"/>
    <col min="8" max="16384" width="10.85546875" style="8"/>
  </cols>
  <sheetData>
    <row r="1" spans="1:7" ht="25.5" thickBot="1">
      <c r="A1" s="795" t="s">
        <v>137</v>
      </c>
      <c r="B1" s="796"/>
      <c r="C1" s="796"/>
      <c r="D1" s="796"/>
      <c r="E1" s="796"/>
      <c r="F1" s="796"/>
      <c r="G1" s="797"/>
    </row>
    <row r="2" spans="1:7" ht="19.5">
      <c r="A2" s="55"/>
      <c r="B2" s="157"/>
      <c r="C2" s="55"/>
      <c r="D2" s="157"/>
      <c r="E2" s="55"/>
      <c r="F2" s="194"/>
      <c r="G2" s="55"/>
    </row>
    <row r="3" spans="1:7" ht="15.2" customHeight="1">
      <c r="A3" s="744" t="s">
        <v>138</v>
      </c>
      <c r="B3" s="195" t="s">
        <v>139</v>
      </c>
      <c r="C3" s="196"/>
      <c r="D3" s="195" t="s">
        <v>139</v>
      </c>
      <c r="E3" s="196"/>
      <c r="F3" s="197" t="s">
        <v>139</v>
      </c>
      <c r="G3" s="196"/>
    </row>
    <row r="4" spans="1:7" ht="15.2" customHeight="1">
      <c r="A4" s="798"/>
      <c r="B4" s="198" t="s">
        <v>140</v>
      </c>
      <c r="C4" s="199" t="s">
        <v>141</v>
      </c>
      <c r="D4" s="198" t="s">
        <v>140</v>
      </c>
      <c r="E4" s="199" t="s">
        <v>141</v>
      </c>
      <c r="F4" s="200" t="s">
        <v>140</v>
      </c>
      <c r="G4" s="199" t="s">
        <v>141</v>
      </c>
    </row>
    <row r="5" spans="1:7" s="33" customFormat="1" ht="15.2" customHeight="1">
      <c r="A5" s="201" t="s">
        <v>142</v>
      </c>
      <c r="B5" s="202"/>
      <c r="C5" s="203">
        <v>1</v>
      </c>
      <c r="D5" s="202"/>
      <c r="E5" s="203">
        <v>1</v>
      </c>
      <c r="F5" s="204"/>
      <c r="G5" s="203">
        <v>1</v>
      </c>
    </row>
    <row r="6" spans="1:7" ht="15.2" customHeight="1">
      <c r="A6" s="205"/>
      <c r="B6" s="206"/>
      <c r="C6" s="205"/>
      <c r="D6" s="206"/>
      <c r="E6" s="205"/>
      <c r="F6" s="207"/>
      <c r="G6" s="205"/>
    </row>
    <row r="7" spans="1:7" ht="15.2" customHeight="1">
      <c r="A7" s="208" t="s">
        <v>143</v>
      </c>
      <c r="B7" s="209">
        <f>'3.0 Compte de résultat'!D6</f>
        <v>0</v>
      </c>
      <c r="C7" s="208"/>
      <c r="D7" s="209"/>
      <c r="E7" s="208"/>
      <c r="F7" s="210"/>
      <c r="G7" s="208"/>
    </row>
    <row r="8" spans="1:7" ht="15.2" customHeight="1">
      <c r="A8" s="143" t="s">
        <v>144</v>
      </c>
      <c r="B8" s="147" t="e">
        <f>'3.0 Compte de résultat'!#REF!</f>
        <v>#REF!</v>
      </c>
      <c r="C8" s="143"/>
      <c r="D8" s="147"/>
      <c r="E8" s="143"/>
      <c r="F8" s="211"/>
      <c r="G8" s="143"/>
    </row>
    <row r="9" spans="1:7" s="33" customFormat="1" ht="15.2" customHeight="1">
      <c r="A9" s="212" t="s">
        <v>224</v>
      </c>
      <c r="B9" s="213" t="e">
        <f>SUM(B7:B8)</f>
        <v>#REF!</v>
      </c>
      <c r="C9" s="212"/>
      <c r="D9" s="213">
        <f>D7+D8</f>
        <v>0</v>
      </c>
      <c r="E9" s="212"/>
      <c r="F9" s="214">
        <f>F7+F8</f>
        <v>0</v>
      </c>
      <c r="G9" s="212"/>
    </row>
    <row r="10" spans="1:7" ht="15.2" customHeight="1">
      <c r="A10" s="208" t="s">
        <v>145</v>
      </c>
      <c r="B10" s="209">
        <f>'3.0 Compte de résultat'!D4+'3.0 Compte de résultat'!D5</f>
        <v>70000</v>
      </c>
      <c r="C10" s="208"/>
      <c r="D10" s="209"/>
      <c r="E10" s="208"/>
      <c r="F10" s="210"/>
      <c r="G10" s="208"/>
    </row>
    <row r="11" spans="1:7" ht="15.2" customHeight="1">
      <c r="A11" s="143" t="s">
        <v>146</v>
      </c>
      <c r="B11" s="147"/>
      <c r="C11" s="143"/>
      <c r="D11" s="147"/>
      <c r="E11" s="143"/>
      <c r="F11" s="211"/>
      <c r="G11" s="143"/>
    </row>
    <row r="12" spans="1:7" ht="15.2" customHeight="1">
      <c r="A12" s="143" t="s">
        <v>147</v>
      </c>
      <c r="B12" s="147"/>
      <c r="C12" s="143"/>
      <c r="D12" s="147"/>
      <c r="E12" s="143"/>
      <c r="F12" s="211"/>
      <c r="G12" s="143"/>
    </row>
    <row r="13" spans="1:7" s="33" customFormat="1" ht="15.2" customHeight="1">
      <c r="A13" s="215" t="s">
        <v>225</v>
      </c>
      <c r="B13" s="216">
        <f>SUM(B10:B12)</f>
        <v>70000</v>
      </c>
      <c r="C13" s="215"/>
      <c r="D13" s="216">
        <f>D10+D11+D12</f>
        <v>0</v>
      </c>
      <c r="E13" s="215"/>
      <c r="F13" s="217">
        <f>F10+F11+F12</f>
        <v>0</v>
      </c>
      <c r="G13" s="215"/>
    </row>
    <row r="14" spans="1:7" ht="15.2" customHeight="1">
      <c r="A14" s="143" t="s">
        <v>148</v>
      </c>
      <c r="B14" s="147">
        <f>'3.0 Compte de résultat'!D11</f>
        <v>5600</v>
      </c>
      <c r="C14" s="143"/>
      <c r="D14" s="147"/>
      <c r="E14" s="143"/>
      <c r="F14" s="211"/>
      <c r="G14" s="143"/>
    </row>
    <row r="15" spans="1:7" ht="15.2" customHeight="1">
      <c r="A15" s="143" t="s">
        <v>149</v>
      </c>
      <c r="B15" s="147">
        <f>'3.0 Compte de résultat'!D12</f>
        <v>0</v>
      </c>
      <c r="C15" s="143"/>
      <c r="D15" s="147"/>
      <c r="E15" s="143"/>
      <c r="F15" s="211"/>
      <c r="G15" s="143"/>
    </row>
    <row r="16" spans="1:7" s="33" customFormat="1" ht="15.2" customHeight="1">
      <c r="A16" s="215" t="s">
        <v>226</v>
      </c>
      <c r="B16" s="216">
        <f>B13-B14-B15</f>
        <v>64400</v>
      </c>
      <c r="C16" s="215"/>
      <c r="D16" s="216">
        <f>D13-D14-D15</f>
        <v>0</v>
      </c>
      <c r="E16" s="215"/>
      <c r="F16" s="217">
        <f>F13-F14-F15</f>
        <v>0</v>
      </c>
      <c r="G16" s="215"/>
    </row>
    <row r="17" spans="1:8" s="33" customFormat="1" ht="15.2" customHeight="1">
      <c r="A17" s="212" t="s">
        <v>227</v>
      </c>
      <c r="B17" s="213" t="e">
        <f>B9+B16</f>
        <v>#REF!</v>
      </c>
      <c r="C17" s="212"/>
      <c r="D17" s="213">
        <f>D9+D16</f>
        <v>0</v>
      </c>
      <c r="E17" s="212"/>
      <c r="F17" s="214">
        <f>F9+F16</f>
        <v>0</v>
      </c>
      <c r="G17" s="212"/>
    </row>
    <row r="18" spans="1:8" ht="15.2" customHeight="1">
      <c r="A18" s="218" t="s">
        <v>150</v>
      </c>
      <c r="B18" s="219">
        <f>'3.0 Compte de résultat'!D14+'3.0 Compte de résultat'!D15+'3.0 Compte de résultat'!D16</f>
        <v>16140</v>
      </c>
      <c r="C18" s="218"/>
      <c r="D18" s="219"/>
      <c r="E18" s="218"/>
      <c r="F18" s="220"/>
      <c r="G18" s="218"/>
    </row>
    <row r="19" spans="1:8" s="33" customFormat="1" ht="15.2" customHeight="1">
      <c r="A19" s="221" t="s">
        <v>228</v>
      </c>
      <c r="B19" s="202" t="e">
        <f>B9+B16-B18</f>
        <v>#REF!</v>
      </c>
      <c r="C19" s="221"/>
      <c r="D19" s="202">
        <f>D9+D16-D18</f>
        <v>0</v>
      </c>
      <c r="E19" s="221"/>
      <c r="F19" s="204">
        <f>F9+F16-F18</f>
        <v>0</v>
      </c>
      <c r="G19" s="221"/>
    </row>
    <row r="20" spans="1:8" ht="15.2" customHeight="1">
      <c r="A20" s="208" t="s">
        <v>151</v>
      </c>
      <c r="B20" s="209"/>
      <c r="C20" s="208"/>
      <c r="D20" s="209"/>
      <c r="E20" s="208"/>
      <c r="F20" s="210"/>
      <c r="G20" s="208"/>
    </row>
    <row r="21" spans="1:8" ht="15.2" customHeight="1">
      <c r="A21" s="143" t="s">
        <v>152</v>
      </c>
      <c r="B21" s="147">
        <f>'3.0 Compte de résultat'!D17</f>
        <v>470</v>
      </c>
      <c r="C21" s="143"/>
      <c r="D21" s="147"/>
      <c r="E21" s="143"/>
      <c r="F21" s="211"/>
      <c r="G21" s="143"/>
    </row>
    <row r="22" spans="1:8" ht="15.2" customHeight="1">
      <c r="A22" s="222" t="s">
        <v>153</v>
      </c>
      <c r="B22" s="223">
        <f>'3.0 Compte de résultat'!D18+'3.0 Compte de résultat'!D19</f>
        <v>20520</v>
      </c>
      <c r="C22" s="222"/>
      <c r="D22" s="223"/>
      <c r="E22" s="222"/>
      <c r="F22" s="224"/>
      <c r="G22" s="222"/>
    </row>
    <row r="23" spans="1:8" s="33" customFormat="1" ht="51">
      <c r="A23" s="225" t="s">
        <v>229</v>
      </c>
      <c r="B23" s="216" t="e">
        <f>B19+B20-B21-B22</f>
        <v>#REF!</v>
      </c>
      <c r="C23" s="215"/>
      <c r="D23" s="216">
        <f>D19+D20-D21-D22</f>
        <v>0</v>
      </c>
      <c r="E23" s="215"/>
      <c r="F23" s="217">
        <f>F19+F20-F21-F22</f>
        <v>0</v>
      </c>
      <c r="G23" s="215"/>
    </row>
    <row r="24" spans="1:8" ht="15.2" customHeight="1">
      <c r="A24" s="143" t="s">
        <v>154</v>
      </c>
      <c r="B24" s="147"/>
      <c r="C24" s="143"/>
      <c r="D24" s="147"/>
      <c r="E24" s="143"/>
      <c r="F24" s="211"/>
      <c r="G24" s="143"/>
    </row>
    <row r="25" spans="1:8" ht="15.2" customHeight="1">
      <c r="A25" s="143" t="s">
        <v>155</v>
      </c>
      <c r="B25" s="147">
        <f>'3.0 Compte de résultat'!D21</f>
        <v>0</v>
      </c>
      <c r="C25" s="143"/>
      <c r="D25" s="147"/>
      <c r="E25" s="143"/>
      <c r="F25" s="211"/>
      <c r="G25" s="143"/>
    </row>
    <row r="26" spans="1:8" ht="15.2" customHeight="1">
      <c r="A26" s="143" t="s">
        <v>156</v>
      </c>
      <c r="B26" s="147"/>
      <c r="C26" s="143"/>
      <c r="D26" s="147"/>
      <c r="E26" s="143"/>
      <c r="F26" s="211"/>
      <c r="G26" s="143"/>
    </row>
    <row r="27" spans="1:8" ht="15.2" customHeight="1">
      <c r="A27" s="143" t="s">
        <v>157</v>
      </c>
      <c r="B27" s="147">
        <f>'3.0 Compte de résultat'!D20</f>
        <v>1896.6666666666667</v>
      </c>
      <c r="C27" s="143"/>
      <c r="D27" s="147"/>
      <c r="E27" s="143"/>
      <c r="F27" s="211"/>
      <c r="G27" s="143"/>
    </row>
    <row r="28" spans="1:8" ht="15.2" customHeight="1">
      <c r="A28" s="143" t="s">
        <v>158</v>
      </c>
      <c r="B28" s="147"/>
      <c r="C28" s="143"/>
      <c r="D28" s="147"/>
      <c r="E28" s="143"/>
      <c r="F28" s="211"/>
      <c r="G28" s="143"/>
    </row>
    <row r="29" spans="1:8" s="33" customFormat="1" ht="27.75" customHeight="1">
      <c r="A29" s="225" t="s">
        <v>230</v>
      </c>
      <c r="B29" s="216" t="e">
        <f>B23+B24-B25+B26-B27-B28</f>
        <v>#REF!</v>
      </c>
      <c r="C29" s="215"/>
      <c r="D29" s="216">
        <f>D23+D24-D25+D26-D27-D28</f>
        <v>0</v>
      </c>
      <c r="E29" s="215"/>
      <c r="F29" s="217">
        <f>F23+F24-F25+F26-F27-F28</f>
        <v>0</v>
      </c>
      <c r="G29" s="215"/>
    </row>
    <row r="30" spans="1:8" ht="15.2" customHeight="1">
      <c r="A30" s="143" t="s">
        <v>159</v>
      </c>
      <c r="B30" s="147">
        <f>'3.0 Compte de résultat'!D24</f>
        <v>0</v>
      </c>
      <c r="C30" s="143"/>
      <c r="D30" s="147"/>
      <c r="E30" s="143"/>
      <c r="F30" s="211"/>
      <c r="G30" s="143"/>
    </row>
    <row r="31" spans="1:8" ht="15.2" customHeight="1">
      <c r="A31" s="143" t="s">
        <v>160</v>
      </c>
      <c r="B31" s="147">
        <f>'3.0 Compte de résultat'!D25+'3.0 Compte de résultat'!D26</f>
        <v>322.75602739726025</v>
      </c>
      <c r="C31" s="143"/>
      <c r="D31" s="147"/>
      <c r="E31" s="143"/>
      <c r="F31" s="211"/>
      <c r="G31" s="143"/>
    </row>
    <row r="32" spans="1:8" s="33" customFormat="1" ht="15.2" customHeight="1">
      <c r="A32" s="212" t="s">
        <v>231</v>
      </c>
      <c r="B32" s="213" t="e">
        <f>B29+B30-B31</f>
        <v>#REF!</v>
      </c>
      <c r="C32" s="212"/>
      <c r="D32" s="213">
        <f>D29+D30-D31</f>
        <v>0</v>
      </c>
      <c r="E32" s="212"/>
      <c r="F32" s="214">
        <f>F29+F30-F31</f>
        <v>0</v>
      </c>
      <c r="G32" s="212"/>
      <c r="H32" s="35"/>
    </row>
    <row r="33" spans="1:7" ht="15.2" customHeight="1">
      <c r="A33" s="208" t="s">
        <v>161</v>
      </c>
      <c r="B33" s="209">
        <f>'3.0 Compte de résultat'!D28</f>
        <v>0</v>
      </c>
      <c r="C33" s="208"/>
      <c r="D33" s="209"/>
      <c r="E33" s="208"/>
      <c r="F33" s="210"/>
      <c r="G33" s="208"/>
    </row>
    <row r="34" spans="1:7" ht="15.2" customHeight="1">
      <c r="A34" s="143" t="s">
        <v>162</v>
      </c>
      <c r="B34" s="147">
        <f>'3.0 Compte de résultat'!D29</f>
        <v>0</v>
      </c>
      <c r="C34" s="143"/>
      <c r="D34" s="147"/>
      <c r="E34" s="143"/>
      <c r="F34" s="211"/>
      <c r="G34" s="143"/>
    </row>
    <row r="35" spans="1:7" s="33" customFormat="1" ht="15.2" customHeight="1">
      <c r="A35" s="215" t="s">
        <v>232</v>
      </c>
      <c r="B35" s="216">
        <f>B33-B34</f>
        <v>0</v>
      </c>
      <c r="C35" s="215"/>
      <c r="D35" s="216">
        <f>D33-D34</f>
        <v>0</v>
      </c>
      <c r="E35" s="215"/>
      <c r="F35" s="217">
        <f>F33-F34</f>
        <v>0</v>
      </c>
      <c r="G35" s="215"/>
    </row>
    <row r="36" spans="1:7" ht="15.2" customHeight="1">
      <c r="A36" s="226" t="s">
        <v>163</v>
      </c>
      <c r="B36" s="227">
        <f>'3.0 Compte de résultat'!D33</f>
        <v>0</v>
      </c>
      <c r="C36" s="226"/>
      <c r="D36" s="227"/>
      <c r="E36" s="226"/>
      <c r="F36" s="228"/>
      <c r="G36" s="226"/>
    </row>
    <row r="37" spans="1:7" s="33" customFormat="1" ht="15.2" customHeight="1">
      <c r="A37" s="221" t="s">
        <v>233</v>
      </c>
      <c r="B37" s="202" t="e">
        <f>B32+B35-B36</f>
        <v>#REF!</v>
      </c>
      <c r="C37" s="221"/>
      <c r="D37" s="202">
        <f>D32+D35-D36</f>
        <v>0</v>
      </c>
      <c r="E37" s="221"/>
      <c r="F37" s="204">
        <f>F32+F35-F36</f>
        <v>0</v>
      </c>
      <c r="G37" s="221"/>
    </row>
    <row r="38" spans="1:7" s="33" customFormat="1" ht="15.2" customHeight="1">
      <c r="A38" s="229"/>
      <c r="B38" s="323"/>
      <c r="C38" s="324"/>
      <c r="D38" s="323"/>
      <c r="E38" s="324"/>
      <c r="F38" s="325"/>
      <c r="G38" s="324"/>
    </row>
    <row r="39" spans="1:7" ht="15.2" customHeight="1">
      <c r="A39" s="208" t="s">
        <v>164</v>
      </c>
      <c r="B39" s="230"/>
      <c r="C39" s="91"/>
      <c r="D39" s="230"/>
      <c r="E39" s="91"/>
      <c r="F39" s="207"/>
      <c r="G39" s="205"/>
    </row>
    <row r="40" spans="1:7" ht="15.2" customHeight="1">
      <c r="A40" s="143" t="s">
        <v>165</v>
      </c>
      <c r="B40" s="230"/>
      <c r="C40" s="91"/>
      <c r="D40" s="230"/>
      <c r="E40" s="91"/>
      <c r="F40" s="207"/>
      <c r="G40" s="205"/>
    </row>
    <row r="41" spans="1:7" ht="15.2" customHeight="1">
      <c r="A41" s="143" t="s">
        <v>166</v>
      </c>
      <c r="B41" s="230"/>
      <c r="C41" s="91"/>
      <c r="D41" s="230"/>
      <c r="E41" s="91"/>
      <c r="F41" s="207"/>
      <c r="G41" s="205"/>
    </row>
    <row r="42" spans="1:7" ht="15.2" customHeight="1">
      <c r="A42" s="143" t="s">
        <v>167</v>
      </c>
      <c r="B42" s="230"/>
      <c r="C42" s="91"/>
      <c r="D42" s="230"/>
      <c r="E42" s="91"/>
      <c r="F42" s="207"/>
      <c r="G42" s="205"/>
    </row>
    <row r="43" spans="1:7" ht="15.2" customHeight="1">
      <c r="A43" s="231" t="s">
        <v>168</v>
      </c>
      <c r="B43" s="230"/>
      <c r="C43" s="91"/>
      <c r="D43" s="230"/>
      <c r="E43" s="91"/>
      <c r="F43" s="207"/>
      <c r="G43" s="205"/>
    </row>
    <row r="44" spans="1:7">
      <c r="A44" s="34"/>
      <c r="B44" s="191"/>
      <c r="C44" s="34"/>
      <c r="D44" s="191"/>
      <c r="E44" s="34"/>
      <c r="F44" s="192"/>
      <c r="G44" s="34"/>
    </row>
    <row r="45" spans="1:7">
      <c r="A45" s="34"/>
      <c r="B45" s="191"/>
      <c r="C45" s="34"/>
      <c r="D45" s="191"/>
      <c r="E45" s="34"/>
      <c r="F45" s="192"/>
      <c r="G45" s="34"/>
    </row>
    <row r="46" spans="1:7">
      <c r="A46" s="34"/>
      <c r="B46" s="191"/>
      <c r="C46" s="34"/>
      <c r="D46" s="191"/>
      <c r="E46" s="34"/>
      <c r="F46" s="192"/>
      <c r="G46" s="34"/>
    </row>
    <row r="47" spans="1:7">
      <c r="A47" s="34"/>
      <c r="B47" s="191"/>
      <c r="C47" s="34"/>
      <c r="D47" s="191"/>
      <c r="E47" s="34"/>
      <c r="F47" s="192"/>
      <c r="G47" s="34"/>
    </row>
    <row r="48" spans="1:7">
      <c r="A48" s="34"/>
      <c r="B48" s="191"/>
      <c r="C48" s="34"/>
      <c r="D48" s="191"/>
      <c r="E48" s="34"/>
      <c r="F48" s="192"/>
      <c r="G48" s="34"/>
    </row>
    <row r="49" spans="1:7">
      <c r="A49" s="34"/>
      <c r="B49" s="191"/>
      <c r="C49" s="34"/>
      <c r="D49" s="191"/>
      <c r="E49" s="34"/>
      <c r="F49" s="192"/>
      <c r="G49" s="34"/>
    </row>
    <row r="50" spans="1:7">
      <c r="A50" s="34"/>
      <c r="B50" s="191"/>
      <c r="C50" s="34"/>
      <c r="D50" s="191"/>
      <c r="E50" s="34"/>
      <c r="F50" s="192"/>
      <c r="G50" s="34"/>
    </row>
    <row r="51" spans="1:7">
      <c r="A51" s="34"/>
      <c r="B51" s="191"/>
      <c r="C51" s="34"/>
      <c r="D51" s="191"/>
      <c r="E51" s="34"/>
      <c r="F51" s="192"/>
      <c r="G51" s="34"/>
    </row>
    <row r="52" spans="1:7">
      <c r="A52" s="34"/>
      <c r="B52" s="191"/>
      <c r="C52" s="34"/>
      <c r="D52" s="191"/>
      <c r="E52" s="34"/>
      <c r="F52" s="192"/>
      <c r="G52" s="34"/>
    </row>
    <row r="53" spans="1:7">
      <c r="A53" s="34"/>
      <c r="B53" s="191"/>
      <c r="C53" s="34"/>
      <c r="D53" s="191"/>
      <c r="E53" s="34"/>
      <c r="F53" s="192"/>
      <c r="G53" s="34"/>
    </row>
    <row r="54" spans="1:7">
      <c r="A54" s="34"/>
      <c r="B54" s="191"/>
      <c r="C54" s="34"/>
      <c r="D54" s="191"/>
      <c r="E54" s="34"/>
      <c r="F54" s="192"/>
      <c r="G54" s="34"/>
    </row>
    <row r="55" spans="1:7">
      <c r="A55" s="34"/>
      <c r="B55" s="191"/>
      <c r="C55" s="34"/>
      <c r="D55" s="191"/>
      <c r="E55" s="34"/>
      <c r="F55" s="192"/>
      <c r="G55" s="34"/>
    </row>
    <row r="56" spans="1:7">
      <c r="A56" s="34"/>
      <c r="B56" s="191"/>
      <c r="C56" s="34"/>
      <c r="D56" s="191"/>
      <c r="E56" s="34"/>
      <c r="F56" s="192"/>
      <c r="G56" s="34"/>
    </row>
    <row r="57" spans="1:7">
      <c r="A57" s="34"/>
      <c r="B57" s="191"/>
      <c r="C57" s="34"/>
      <c r="D57" s="191"/>
      <c r="E57" s="34"/>
      <c r="F57" s="192"/>
      <c r="G57" s="34"/>
    </row>
    <row r="58" spans="1:7">
      <c r="A58" s="34"/>
      <c r="B58" s="191"/>
      <c r="C58" s="34"/>
      <c r="D58" s="191"/>
      <c r="E58" s="34"/>
      <c r="F58" s="192"/>
      <c r="G58" s="34"/>
    </row>
    <row r="59" spans="1:7">
      <c r="A59" s="34"/>
      <c r="B59" s="191"/>
      <c r="C59" s="34"/>
      <c r="D59" s="191"/>
      <c r="E59" s="34"/>
      <c r="F59" s="192"/>
      <c r="G59" s="34"/>
    </row>
    <row r="60" spans="1:7">
      <c r="A60" s="34"/>
      <c r="B60" s="191"/>
      <c r="C60" s="34"/>
      <c r="D60" s="191"/>
      <c r="E60" s="34"/>
      <c r="F60" s="192"/>
      <c r="G60" s="34"/>
    </row>
    <row r="61" spans="1:7">
      <c r="A61" s="34"/>
      <c r="B61" s="191"/>
      <c r="C61" s="34"/>
      <c r="D61" s="191"/>
      <c r="E61" s="34"/>
      <c r="F61" s="192"/>
      <c r="G61" s="34"/>
    </row>
    <row r="62" spans="1:7">
      <c r="A62" s="34"/>
      <c r="B62" s="191"/>
      <c r="C62" s="34"/>
      <c r="D62" s="191"/>
      <c r="E62" s="34"/>
      <c r="F62" s="192"/>
      <c r="G62" s="34"/>
    </row>
    <row r="63" spans="1:7">
      <c r="A63" s="34"/>
      <c r="B63" s="191"/>
      <c r="C63" s="34"/>
      <c r="D63" s="191"/>
      <c r="E63" s="34"/>
      <c r="F63" s="192"/>
      <c r="G63" s="34"/>
    </row>
    <row r="64" spans="1:7">
      <c r="A64" s="34"/>
      <c r="B64" s="191"/>
      <c r="C64" s="34"/>
      <c r="D64" s="191"/>
      <c r="E64" s="34"/>
      <c r="F64" s="192"/>
      <c r="G64" s="34"/>
    </row>
    <row r="65" spans="1:7">
      <c r="A65" s="34"/>
      <c r="B65" s="191"/>
      <c r="C65" s="34"/>
      <c r="D65" s="191"/>
      <c r="E65" s="34"/>
      <c r="F65" s="192"/>
      <c r="G65" s="34"/>
    </row>
    <row r="66" spans="1:7">
      <c r="A66" s="34"/>
      <c r="B66" s="191"/>
      <c r="C66" s="34"/>
      <c r="D66" s="191"/>
      <c r="E66" s="34"/>
      <c r="F66" s="192"/>
      <c r="G66" s="34"/>
    </row>
    <row r="67" spans="1:7">
      <c r="A67" s="34"/>
      <c r="B67" s="191"/>
      <c r="C67" s="34"/>
      <c r="D67" s="191"/>
      <c r="E67" s="34"/>
      <c r="F67" s="192"/>
      <c r="G67" s="34"/>
    </row>
    <row r="68" spans="1:7">
      <c r="A68" s="34"/>
      <c r="B68" s="191"/>
      <c r="C68" s="34"/>
      <c r="D68" s="191"/>
      <c r="E68" s="34"/>
      <c r="F68" s="192"/>
      <c r="G68" s="34"/>
    </row>
    <row r="69" spans="1:7">
      <c r="A69" s="34"/>
      <c r="B69" s="191"/>
      <c r="C69" s="34"/>
      <c r="D69" s="191"/>
      <c r="E69" s="34"/>
      <c r="F69" s="192"/>
      <c r="G69" s="34"/>
    </row>
    <row r="70" spans="1:7">
      <c r="A70" s="34"/>
      <c r="B70" s="191"/>
      <c r="C70" s="34"/>
      <c r="D70" s="191"/>
      <c r="E70" s="34"/>
      <c r="F70" s="192"/>
      <c r="G70" s="34"/>
    </row>
    <row r="71" spans="1:7">
      <c r="A71" s="34"/>
      <c r="B71" s="191"/>
      <c r="C71" s="34"/>
      <c r="D71" s="191"/>
      <c r="E71" s="34"/>
      <c r="F71" s="192"/>
      <c r="G71" s="34"/>
    </row>
    <row r="72" spans="1:7">
      <c r="A72" s="34"/>
      <c r="B72" s="191"/>
      <c r="C72" s="34"/>
      <c r="D72" s="191"/>
      <c r="E72" s="34"/>
      <c r="F72" s="192"/>
      <c r="G72" s="34"/>
    </row>
    <row r="73" spans="1:7">
      <c r="A73" s="34"/>
      <c r="B73" s="191"/>
      <c r="C73" s="34"/>
      <c r="D73" s="191"/>
      <c r="E73" s="34"/>
      <c r="F73" s="192"/>
      <c r="G73" s="34"/>
    </row>
    <row r="74" spans="1:7">
      <c r="A74" s="34"/>
      <c r="B74" s="191"/>
      <c r="C74" s="34"/>
      <c r="D74" s="191"/>
      <c r="E74" s="34"/>
      <c r="F74" s="192"/>
      <c r="G74" s="34"/>
    </row>
    <row r="75" spans="1:7">
      <c r="A75" s="34"/>
      <c r="B75" s="191"/>
      <c r="C75" s="34"/>
      <c r="D75" s="191"/>
      <c r="E75" s="34"/>
      <c r="F75" s="192"/>
      <c r="G75" s="34"/>
    </row>
    <row r="76" spans="1:7">
      <c r="A76" s="34"/>
      <c r="B76" s="191"/>
      <c r="C76" s="34"/>
      <c r="D76" s="191"/>
      <c r="E76" s="34"/>
      <c r="F76" s="192"/>
      <c r="G76" s="34"/>
    </row>
    <row r="77" spans="1:7">
      <c r="A77" s="34"/>
      <c r="B77" s="191"/>
      <c r="C77" s="34"/>
      <c r="D77" s="191"/>
      <c r="E77" s="34"/>
      <c r="F77" s="192"/>
      <c r="G77" s="34"/>
    </row>
    <row r="78" spans="1:7">
      <c r="B78" s="191"/>
      <c r="C78" s="34"/>
      <c r="D78" s="191"/>
      <c r="E78" s="34"/>
      <c r="F78" s="192"/>
      <c r="G78" s="34"/>
    </row>
    <row r="79" spans="1:7">
      <c r="B79" s="191"/>
      <c r="C79" s="34"/>
      <c r="D79" s="191"/>
      <c r="E79" s="34"/>
      <c r="F79" s="192"/>
      <c r="G79" s="34"/>
    </row>
    <row r="80" spans="1:7">
      <c r="B80" s="191"/>
      <c r="C80" s="34"/>
      <c r="D80" s="191"/>
      <c r="E80" s="34"/>
      <c r="F80" s="192"/>
      <c r="G80" s="34"/>
    </row>
    <row r="81" spans="2:7">
      <c r="B81" s="191"/>
      <c r="C81" s="34"/>
      <c r="D81" s="191"/>
      <c r="E81" s="34"/>
      <c r="F81" s="192"/>
      <c r="G81" s="34"/>
    </row>
    <row r="82" spans="2:7">
      <c r="B82" s="191"/>
      <c r="C82" s="34"/>
      <c r="D82" s="191"/>
      <c r="E82" s="34"/>
      <c r="F82" s="192"/>
      <c r="G82" s="34"/>
    </row>
    <row r="83" spans="2:7">
      <c r="B83" s="191"/>
      <c r="C83" s="34"/>
      <c r="D83" s="191"/>
      <c r="E83" s="34"/>
      <c r="F83" s="192"/>
      <c r="G83" s="34"/>
    </row>
    <row r="84" spans="2:7">
      <c r="B84" s="191"/>
      <c r="C84" s="34"/>
      <c r="D84" s="191"/>
      <c r="E84" s="34"/>
      <c r="F84" s="192"/>
      <c r="G84" s="34"/>
    </row>
    <row r="85" spans="2:7">
      <c r="B85" s="191"/>
      <c r="C85" s="34"/>
      <c r="D85" s="191"/>
      <c r="E85" s="34"/>
      <c r="F85" s="192"/>
      <c r="G85" s="34"/>
    </row>
    <row r="86" spans="2:7">
      <c r="B86" s="191"/>
      <c r="C86" s="34"/>
      <c r="D86" s="191"/>
      <c r="E86" s="34"/>
      <c r="F86" s="192"/>
      <c r="G86" s="34"/>
    </row>
    <row r="87" spans="2:7">
      <c r="B87" s="191"/>
      <c r="C87" s="34"/>
      <c r="D87" s="191"/>
      <c r="E87" s="34"/>
      <c r="F87" s="192"/>
      <c r="G87" s="34"/>
    </row>
    <row r="88" spans="2:7">
      <c r="B88" s="191"/>
      <c r="C88" s="34"/>
      <c r="D88" s="191"/>
      <c r="E88" s="34"/>
      <c r="F88" s="192"/>
      <c r="G88" s="34"/>
    </row>
    <row r="89" spans="2:7">
      <c r="B89" s="191"/>
      <c r="C89" s="34"/>
      <c r="D89" s="191"/>
      <c r="E89" s="34"/>
      <c r="F89" s="192"/>
      <c r="G89" s="34"/>
    </row>
    <row r="90" spans="2:7">
      <c r="B90" s="191"/>
      <c r="C90" s="34"/>
      <c r="D90" s="191"/>
      <c r="E90" s="34"/>
      <c r="F90" s="192"/>
      <c r="G90" s="34"/>
    </row>
    <row r="91" spans="2:7">
      <c r="B91" s="191"/>
      <c r="C91" s="34"/>
      <c r="D91" s="191"/>
      <c r="E91" s="34"/>
      <c r="F91" s="192"/>
      <c r="G91" s="34"/>
    </row>
    <row r="92" spans="2:7">
      <c r="B92" s="191"/>
      <c r="C92" s="34"/>
      <c r="D92" s="191"/>
      <c r="E92" s="34"/>
      <c r="F92" s="192"/>
      <c r="G92" s="34"/>
    </row>
    <row r="93" spans="2:7">
      <c r="B93" s="191"/>
      <c r="C93" s="34"/>
      <c r="D93" s="191"/>
      <c r="E93" s="34"/>
      <c r="F93" s="192"/>
      <c r="G93" s="34"/>
    </row>
    <row r="94" spans="2:7">
      <c r="B94" s="191"/>
      <c r="C94" s="34"/>
      <c r="D94" s="191"/>
      <c r="E94" s="34"/>
      <c r="F94" s="192"/>
      <c r="G94" s="34"/>
    </row>
    <row r="95" spans="2:7">
      <c r="B95" s="191"/>
      <c r="C95" s="34"/>
      <c r="D95" s="191"/>
      <c r="E95" s="34"/>
      <c r="F95" s="192"/>
      <c r="G95" s="34"/>
    </row>
    <row r="96" spans="2:7">
      <c r="B96" s="191"/>
      <c r="C96" s="34"/>
      <c r="D96" s="191"/>
      <c r="E96" s="34"/>
      <c r="F96" s="192"/>
      <c r="G96" s="34"/>
    </row>
  </sheetData>
  <mergeCells count="2">
    <mergeCell ref="A1:G1"/>
    <mergeCell ref="A3:A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20"/>
  </sheetPr>
  <dimension ref="A1:O27"/>
  <sheetViews>
    <sheetView showGridLines="0" topLeftCell="A5" zoomScale="75" zoomScaleNormal="75" zoomScalePageLayoutView="75" workbookViewId="0">
      <selection activeCell="I24" sqref="I24"/>
    </sheetView>
  </sheetViews>
  <sheetFormatPr baseColWidth="10" defaultColWidth="10.85546875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0.85546875" style="3"/>
    <col min="8" max="8" width="49.7109375" style="3" bestFit="1" customWidth="1"/>
    <col min="9" max="9" width="14.85546875" style="3" bestFit="1" customWidth="1"/>
    <col min="10" max="16384" width="10.85546875" style="3"/>
  </cols>
  <sheetData>
    <row r="1" spans="1:15" ht="22.5">
      <c r="A1" s="704" t="s">
        <v>394</v>
      </c>
      <c r="B1" s="705"/>
      <c r="C1" s="706"/>
      <c r="G1" s="704" t="s">
        <v>402</v>
      </c>
      <c r="H1" s="705"/>
      <c r="I1" s="706"/>
    </row>
    <row r="2" spans="1:15" ht="16.5">
      <c r="A2" s="78"/>
      <c r="B2" s="79"/>
      <c r="C2" s="80"/>
      <c r="G2" s="78"/>
      <c r="H2" s="79"/>
      <c r="I2" s="89"/>
    </row>
    <row r="3" spans="1:15" ht="22.5">
      <c r="A3" s="710" t="s">
        <v>536</v>
      </c>
      <c r="B3" s="710"/>
      <c r="C3" s="710"/>
      <c r="D3" s="710"/>
      <c r="E3" s="710"/>
      <c r="F3" s="710"/>
      <c r="G3" s="710"/>
      <c r="H3" s="710"/>
      <c r="I3" s="710"/>
      <c r="L3" s="427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15" t="s">
        <v>1</v>
      </c>
      <c r="B5" s="715"/>
      <c r="C5" s="81" t="s">
        <v>252</v>
      </c>
      <c r="D5" s="81" t="s">
        <v>65</v>
      </c>
      <c r="E5" s="81" t="s">
        <v>51</v>
      </c>
      <c r="G5" s="707" t="s">
        <v>38</v>
      </c>
      <c r="H5" s="708"/>
      <c r="I5" s="90" t="s">
        <v>253</v>
      </c>
    </row>
    <row r="6" spans="1:15" s="5" customFormat="1" ht="22.5" customHeight="1" thickBot="1">
      <c r="A6" s="712" t="s">
        <v>2</v>
      </c>
      <c r="B6" s="84" t="s">
        <v>188</v>
      </c>
      <c r="C6" s="85">
        <f>'1.1 Détails Investissements'!B5+'1.1 Détails Investissements'!D5</f>
        <v>3800</v>
      </c>
      <c r="D6" s="83" t="e">
        <f>'1.1 Détails Investissements'!#REF!</f>
        <v>#REF!</v>
      </c>
      <c r="E6" s="83" t="e">
        <f>'1.1 Détails Investissements'!#REF!</f>
        <v>#REF!</v>
      </c>
      <c r="G6" s="711" t="s">
        <v>39</v>
      </c>
      <c r="H6" s="84" t="s">
        <v>40</v>
      </c>
      <c r="I6" s="554">
        <v>6000</v>
      </c>
      <c r="J6" s="381"/>
      <c r="K6" s="382" t="s">
        <v>338</v>
      </c>
      <c r="L6" s="382"/>
      <c r="M6" s="656">
        <v>6000</v>
      </c>
      <c r="N6" s="383" t="s">
        <v>339</v>
      </c>
      <c r="O6" s="514"/>
    </row>
    <row r="7" spans="1:15" s="5" customFormat="1" ht="22.5" customHeight="1" thickBot="1">
      <c r="A7" s="713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1558</v>
      </c>
      <c r="E7" s="85" t="e">
        <f>'1.1 Détails Investissements'!#REF!</f>
        <v>#REF!</v>
      </c>
      <c r="G7" s="711"/>
      <c r="H7" s="84" t="s">
        <v>41</v>
      </c>
      <c r="I7" s="85"/>
      <c r="J7" s="382"/>
      <c r="K7" s="382" t="s">
        <v>338</v>
      </c>
      <c r="L7" s="382"/>
      <c r="M7" s="656"/>
      <c r="N7" s="383" t="s">
        <v>339</v>
      </c>
      <c r="O7" s="514"/>
    </row>
    <row r="8" spans="1:15" s="5" customFormat="1" ht="22.5" customHeight="1">
      <c r="A8" s="713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11"/>
      <c r="H8" s="555" t="s">
        <v>513</v>
      </c>
      <c r="I8" s="554"/>
      <c r="J8" s="12"/>
      <c r="K8" s="12"/>
      <c r="L8" s="12"/>
      <c r="M8" s="12"/>
      <c r="N8" s="12"/>
      <c r="O8" s="12"/>
    </row>
    <row r="9" spans="1:15" s="5" customFormat="1" ht="22.5" customHeight="1">
      <c r="A9" s="713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11"/>
      <c r="H9" s="555" t="s">
        <v>487</v>
      </c>
      <c r="I9" s="554"/>
      <c r="J9" s="12"/>
      <c r="K9" s="12"/>
      <c r="L9" s="12"/>
      <c r="M9" s="12"/>
      <c r="N9" s="12"/>
      <c r="O9" s="12"/>
    </row>
    <row r="10" spans="1:15" s="5" customFormat="1" ht="22.5" customHeight="1">
      <c r="A10" s="713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11"/>
      <c r="H10" s="555" t="s">
        <v>534</v>
      </c>
      <c r="I10" s="554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13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11"/>
      <c r="H11" s="555"/>
      <c r="I11" s="554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13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09" t="s">
        <v>11</v>
      </c>
      <c r="H12" s="709"/>
      <c r="I12" s="316">
        <f>SUM(I6:I10)</f>
        <v>6000</v>
      </c>
      <c r="J12" s="509">
        <f>(I12+I16)/I26</f>
        <v>0.52173461056160653</v>
      </c>
      <c r="K12" s="390" t="s">
        <v>261</v>
      </c>
      <c r="L12" s="391"/>
      <c r="M12" s="392"/>
    </row>
    <row r="13" spans="1:15" s="5" customFormat="1" ht="22.5" customHeight="1">
      <c r="A13" s="713"/>
      <c r="B13" s="86" t="s">
        <v>9</v>
      </c>
      <c r="C13" s="85">
        <f>'1.1 Détails Investissements'!B44+'1.1 Détails Investissements'!D44</f>
        <v>2800</v>
      </c>
      <c r="D13" s="85">
        <f>'1.1 Détails Investissements'!E40</f>
        <v>0</v>
      </c>
      <c r="E13" s="85" t="e">
        <f>'1.1 Détails Investissements'!#REF!</f>
        <v>#REF!</v>
      </c>
      <c r="G13" s="723" t="s">
        <v>42</v>
      </c>
      <c r="H13" s="84" t="s">
        <v>281</v>
      </c>
      <c r="I13" s="85">
        <f>C26-I12-I14-I15-I16-I25</f>
        <v>4050.1095890410961</v>
      </c>
      <c r="J13" s="510">
        <f>IF(J14&gt;0,I13-J14,0)</f>
        <v>0</v>
      </c>
      <c r="K13" s="507" t="s">
        <v>462</v>
      </c>
      <c r="L13" s="507"/>
      <c r="M13" s="508"/>
      <c r="N13" s="12"/>
      <c r="O13" s="12"/>
    </row>
    <row r="14" spans="1:15" s="5" customFormat="1" ht="22.5" customHeight="1">
      <c r="A14" s="713"/>
      <c r="B14" s="84" t="s">
        <v>10</v>
      </c>
      <c r="C14" s="85">
        <f>'1.1 Détails Investissements'!B53+'1.1 Détails Investissements'!D53</f>
        <v>700</v>
      </c>
      <c r="D14" s="85">
        <f>'1.1 Détails Investissements'!E44</f>
        <v>0</v>
      </c>
      <c r="E14" s="85" t="e">
        <f>'1.1 Détails Investissements'!#REF!</f>
        <v>#REF!</v>
      </c>
      <c r="G14" s="724"/>
      <c r="H14" s="555" t="s">
        <v>251</v>
      </c>
      <c r="I14" s="554">
        <v>2000</v>
      </c>
      <c r="J14" s="510">
        <f>IF(I26&gt;45000,0,IF(I13/3&lt;2000,0,IF(I13/3&lt;7000,I13/3,7000)))</f>
        <v>0</v>
      </c>
      <c r="K14" s="507" t="s">
        <v>477</v>
      </c>
      <c r="L14" s="507"/>
      <c r="M14" s="125" t="s">
        <v>463</v>
      </c>
      <c r="N14" s="12"/>
      <c r="O14" s="12"/>
    </row>
    <row r="15" spans="1:15" s="5" customFormat="1" ht="22.5" customHeight="1" thickBot="1">
      <c r="A15" s="713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24"/>
      <c r="H15" s="555" t="s">
        <v>510</v>
      </c>
      <c r="I15" s="554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14"/>
      <c r="B16" s="84" t="s">
        <v>189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24"/>
      <c r="H16" s="555" t="s">
        <v>43</v>
      </c>
      <c r="I16" s="554">
        <v>600</v>
      </c>
      <c r="J16" s="381"/>
      <c r="K16" s="382" t="s">
        <v>338</v>
      </c>
      <c r="L16" s="382"/>
      <c r="M16" s="656"/>
      <c r="N16" s="383" t="s">
        <v>339</v>
      </c>
      <c r="O16" s="514"/>
    </row>
    <row r="17" spans="1:15" s="5" customFormat="1" ht="22.5" customHeight="1">
      <c r="A17" s="716" t="s">
        <v>11</v>
      </c>
      <c r="B17" s="717"/>
      <c r="C17" s="88">
        <f>SUM(C6:C16)</f>
        <v>7300</v>
      </c>
      <c r="D17" s="85">
        <f>'1.1 Détails Investissements'!E60</f>
        <v>0</v>
      </c>
      <c r="E17" s="85" t="e">
        <f>'1.1 Détails Investissements'!#REF!</f>
        <v>#REF!</v>
      </c>
      <c r="G17" s="724"/>
      <c r="H17" s="555"/>
      <c r="I17" s="554"/>
      <c r="J17" s="12"/>
      <c r="K17" s="12"/>
      <c r="L17" s="12"/>
      <c r="M17" s="12"/>
      <c r="N17" s="12"/>
      <c r="O17" s="12"/>
    </row>
    <row r="18" spans="1:15" s="5" customFormat="1" ht="22.5" customHeight="1">
      <c r="A18" s="712" t="s">
        <v>12</v>
      </c>
      <c r="B18" s="84" t="s">
        <v>348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25"/>
      <c r="H18" s="555"/>
      <c r="I18" s="554"/>
    </row>
    <row r="19" spans="1:15" s="5" customFormat="1" ht="22.5" customHeight="1">
      <c r="A19" s="713"/>
      <c r="B19" s="84" t="s">
        <v>349</v>
      </c>
      <c r="C19" s="85">
        <f>'1.2 Détails stocks'!C23+'1.2 Détails stocks'!F23</f>
        <v>0</v>
      </c>
      <c r="D19" s="394">
        <v>0</v>
      </c>
      <c r="E19" s="394">
        <v>0</v>
      </c>
      <c r="G19" s="721" t="s">
        <v>13</v>
      </c>
      <c r="H19" s="722"/>
      <c r="I19" s="88">
        <f>SUM(I13:I17)</f>
        <v>6650.1095890410961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13"/>
      <c r="B20" s="84"/>
      <c r="C20" s="87"/>
      <c r="D20" s="394">
        <v>0</v>
      </c>
      <c r="E20" s="394">
        <v>0</v>
      </c>
      <c r="G20" s="723" t="s">
        <v>44</v>
      </c>
      <c r="H20" s="555" t="s">
        <v>497</v>
      </c>
      <c r="I20" s="554"/>
      <c r="J20" s="12"/>
      <c r="K20" s="12"/>
      <c r="L20" s="12"/>
      <c r="M20" s="12"/>
      <c r="N20" s="12"/>
      <c r="O20" s="12"/>
    </row>
    <row r="21" spans="1:15" s="5" customFormat="1" ht="22.5" customHeight="1">
      <c r="A21" s="713"/>
      <c r="B21" s="104" t="s">
        <v>240</v>
      </c>
      <c r="C21" s="85">
        <f>'1.1 Détails Investissements'!C62</f>
        <v>1313.1999999999998</v>
      </c>
      <c r="D21" s="394">
        <v>0</v>
      </c>
      <c r="E21" s="394">
        <v>0</v>
      </c>
      <c r="G21" s="724"/>
      <c r="H21" s="555" t="s">
        <v>45</v>
      </c>
      <c r="I21" s="554"/>
      <c r="K21" s="12"/>
      <c r="L21" s="12"/>
      <c r="M21" s="12"/>
      <c r="N21" s="12"/>
      <c r="O21" s="12"/>
    </row>
    <row r="22" spans="1:15" s="5" customFormat="1" ht="22.5" customHeight="1">
      <c r="A22" s="713"/>
      <c r="B22" s="104" t="s">
        <v>239</v>
      </c>
      <c r="C22" s="85">
        <f>'1.2 Détails stocks'!E23</f>
        <v>0</v>
      </c>
      <c r="D22" s="394">
        <v>0</v>
      </c>
      <c r="E22" s="394">
        <v>0</v>
      </c>
      <c r="G22" s="724"/>
      <c r="H22" s="555" t="s">
        <v>489</v>
      </c>
      <c r="I22" s="554"/>
      <c r="J22" s="12"/>
      <c r="K22" s="12"/>
      <c r="L22" s="12"/>
      <c r="M22" s="12"/>
      <c r="N22" s="12"/>
      <c r="O22" s="12"/>
    </row>
    <row r="23" spans="1:15" s="5" customFormat="1" ht="22.5" customHeight="1">
      <c r="A23" s="713"/>
      <c r="B23" s="84" t="s">
        <v>351</v>
      </c>
      <c r="C23" s="85">
        <f>'1.3 Ma trésorerie de départ'!D32</f>
        <v>3225</v>
      </c>
      <c r="D23" s="394">
        <v>0</v>
      </c>
      <c r="E23" s="394">
        <v>0</v>
      </c>
      <c r="G23" s="724"/>
      <c r="H23" s="555" t="s">
        <v>0</v>
      </c>
      <c r="I23" s="554"/>
      <c r="J23" s="522" t="s">
        <v>488</v>
      </c>
      <c r="K23" s="12"/>
      <c r="L23" s="12"/>
      <c r="M23" s="12"/>
      <c r="N23" s="12"/>
      <c r="O23" s="12"/>
    </row>
    <row r="24" spans="1:15" s="5" customFormat="1" ht="25.5" customHeight="1">
      <c r="A24" s="714"/>
      <c r="B24" s="84" t="s">
        <v>352</v>
      </c>
      <c r="C24" s="85">
        <f>'1,31 BFR'!C58</f>
        <v>811.90958904109584</v>
      </c>
      <c r="D24" s="426"/>
      <c r="E24" s="426"/>
      <c r="G24" s="725"/>
      <c r="H24" s="556"/>
      <c r="I24" s="554"/>
    </row>
    <row r="25" spans="1:15" s="5" customFormat="1" ht="22.5" customHeight="1">
      <c r="A25" s="718" t="s">
        <v>13</v>
      </c>
      <c r="B25" s="717"/>
      <c r="C25" s="88">
        <f>SUM(C18:C24)</f>
        <v>5350.1095890410961</v>
      </c>
      <c r="D25" s="394">
        <v>0</v>
      </c>
      <c r="E25" s="394">
        <v>0</v>
      </c>
      <c r="G25" s="721" t="s">
        <v>46</v>
      </c>
      <c r="H25" s="722"/>
      <c r="I25" s="88">
        <f>SUM(I20:I24)</f>
        <v>0</v>
      </c>
    </row>
    <row r="26" spans="1:15" s="5" customFormat="1" ht="22.5" customHeight="1">
      <c r="A26" s="719" t="s">
        <v>14</v>
      </c>
      <c r="B26" s="720"/>
      <c r="C26" s="256">
        <f>C17+C25</f>
        <v>12650.109589041096</v>
      </c>
      <c r="D26" s="88">
        <f>SUM(D19:D25)</f>
        <v>0</v>
      </c>
      <c r="E26" s="88">
        <f>SUM(E19:E25)</f>
        <v>0</v>
      </c>
      <c r="G26" s="726" t="s">
        <v>47</v>
      </c>
      <c r="H26" s="727"/>
      <c r="I26" s="256">
        <f>I12+I19+I25</f>
        <v>12650.109589041096</v>
      </c>
      <c r="J26" s="13"/>
      <c r="K26" s="13"/>
      <c r="L26" s="13"/>
      <c r="M26" s="13"/>
      <c r="N26" s="13"/>
      <c r="O26" s="13"/>
    </row>
    <row r="27" spans="1:15" ht="19.5">
      <c r="D27" s="521"/>
      <c r="E27" s="521"/>
    </row>
  </sheetData>
  <sheetProtection formatCells="0" formatColumns="0"/>
  <mergeCells count="17">
    <mergeCell ref="A17:B17"/>
    <mergeCell ref="A25:B25"/>
    <mergeCell ref="A26:B26"/>
    <mergeCell ref="A18:A24"/>
    <mergeCell ref="G19:H19"/>
    <mergeCell ref="G20:G24"/>
    <mergeCell ref="G25:H25"/>
    <mergeCell ref="G26:H26"/>
    <mergeCell ref="G13:G18"/>
    <mergeCell ref="G1:I1"/>
    <mergeCell ref="G5:H5"/>
    <mergeCell ref="G12:H12"/>
    <mergeCell ref="A3:I3"/>
    <mergeCell ref="G6:G11"/>
    <mergeCell ref="A6:A16"/>
    <mergeCell ref="A1:C1"/>
    <mergeCell ref="A5:B5"/>
  </mergeCells>
  <phoneticPr fontId="0" type="noConversion"/>
  <printOptions horizontalCentered="1"/>
  <pageMargins left="0.25" right="0.25" top="0.75" bottom="0.75" header="0.3" footer="0.3"/>
  <pageSetup paperSize="9" scale="75" orientation="landscape" horizontalDpi="4294967294" r:id="rId1"/>
  <headerFooter alignWithMargins="0">
    <oddHeader>&amp;A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E23" sqref="E23"/>
    </sheetView>
  </sheetViews>
  <sheetFormatPr baseColWidth="10" defaultRowHeight="12.75"/>
  <cols>
    <col min="1" max="1" width="24.85546875" customWidth="1"/>
    <col min="2" max="2" width="11.85546875" bestFit="1" customWidth="1"/>
    <col min="9" max="9" width="11.85546875" bestFit="1" customWidth="1"/>
  </cols>
  <sheetData>
    <row r="1" spans="1:9" s="807" customFormat="1" ht="25.5">
      <c r="C1" s="806" t="s">
        <v>563</v>
      </c>
      <c r="E1" s="806" t="s">
        <v>564</v>
      </c>
      <c r="G1" s="806" t="s">
        <v>565</v>
      </c>
    </row>
    <row r="2" spans="1:9">
      <c r="A2" t="s">
        <v>545</v>
      </c>
      <c r="B2" s="702">
        <v>1500</v>
      </c>
    </row>
    <row r="3" spans="1:9">
      <c r="A3" t="s">
        <v>546</v>
      </c>
      <c r="B3" s="702">
        <v>1500</v>
      </c>
    </row>
    <row r="4" spans="1:9">
      <c r="A4" t="s">
        <v>547</v>
      </c>
      <c r="B4" s="702">
        <v>1500</v>
      </c>
    </row>
    <row r="5" spans="1:9">
      <c r="A5" t="s">
        <v>548</v>
      </c>
      <c r="B5" s="702">
        <v>1500</v>
      </c>
    </row>
    <row r="6" spans="1:9">
      <c r="A6" t="s">
        <v>549</v>
      </c>
      <c r="B6" s="702">
        <v>1500</v>
      </c>
      <c r="C6" s="703"/>
    </row>
    <row r="7" spans="1:9">
      <c r="A7" s="357" t="s">
        <v>562</v>
      </c>
      <c r="B7" s="805">
        <v>7500</v>
      </c>
      <c r="C7" s="800">
        <v>2500</v>
      </c>
      <c r="E7" s="804">
        <v>2500</v>
      </c>
      <c r="G7" s="804">
        <v>2500</v>
      </c>
      <c r="H7" s="703"/>
    </row>
    <row r="9" spans="1:9">
      <c r="A9" t="s">
        <v>550</v>
      </c>
      <c r="B9" s="805">
        <v>2250</v>
      </c>
      <c r="C9" s="800">
        <f>B9/3</f>
        <v>750</v>
      </c>
      <c r="E9" s="804">
        <v>750</v>
      </c>
      <c r="G9" s="804">
        <v>750</v>
      </c>
      <c r="H9" s="703"/>
    </row>
    <row r="10" spans="1:9">
      <c r="A10" t="s">
        <v>551</v>
      </c>
      <c r="B10" s="805">
        <v>1213</v>
      </c>
      <c r="C10" s="800">
        <v>733</v>
      </c>
      <c r="E10" s="804">
        <f>(800-320)/2</f>
        <v>240</v>
      </c>
      <c r="F10" s="801"/>
      <c r="G10" s="804">
        <v>240</v>
      </c>
      <c r="H10" s="703"/>
    </row>
    <row r="12" spans="1:9" s="802" customFormat="1">
      <c r="C12" s="802" t="s">
        <v>552</v>
      </c>
      <c r="D12" s="802" t="s">
        <v>553</v>
      </c>
      <c r="E12" s="802" t="s">
        <v>554</v>
      </c>
      <c r="F12" s="802" t="s">
        <v>555</v>
      </c>
      <c r="G12" s="802" t="s">
        <v>556</v>
      </c>
      <c r="H12" s="802" t="s">
        <v>557</v>
      </c>
      <c r="I12" s="803"/>
    </row>
    <row r="13" spans="1:9">
      <c r="A13" t="s">
        <v>560</v>
      </c>
      <c r="C13" s="703">
        <v>2200</v>
      </c>
      <c r="D13" s="703"/>
      <c r="E13" s="703">
        <v>1100</v>
      </c>
      <c r="F13" s="703">
        <v>1100</v>
      </c>
      <c r="G13" s="703">
        <v>1100</v>
      </c>
      <c r="H13" s="703">
        <v>1100</v>
      </c>
    </row>
    <row r="14" spans="1:9">
      <c r="A14" t="s">
        <v>561</v>
      </c>
      <c r="C14" s="800">
        <v>2200</v>
      </c>
      <c r="D14" s="703"/>
      <c r="E14" s="703"/>
      <c r="F14" s="703"/>
      <c r="G14" s="703"/>
      <c r="H14" s="703"/>
    </row>
    <row r="15" spans="1:9">
      <c r="A15" s="357" t="s">
        <v>562</v>
      </c>
      <c r="B15" s="805">
        <f>SUM(C13:H13)</f>
        <v>6600</v>
      </c>
    </row>
    <row r="16" spans="1:9">
      <c r="B16" s="805"/>
    </row>
    <row r="18" spans="2:5">
      <c r="B18" s="800">
        <f>B9+B7+B10+B15</f>
        <v>17563</v>
      </c>
    </row>
    <row r="20" spans="2:5">
      <c r="E20">
        <v>6600</v>
      </c>
    </row>
    <row r="21" spans="2:5">
      <c r="E21">
        <v>7400</v>
      </c>
    </row>
    <row r="22" spans="2:5">
      <c r="E22">
        <f>E20+E21</f>
        <v>14000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zoomScale="75" zoomScaleNormal="75" zoomScalePageLayoutView="75" workbookViewId="0">
      <selection activeCell="G27" sqref="G27"/>
    </sheetView>
  </sheetViews>
  <sheetFormatPr baseColWidth="10" defaultColWidth="10.85546875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0.85546875" style="3"/>
    <col min="8" max="8" width="49.7109375" style="3" bestFit="1" customWidth="1"/>
    <col min="9" max="9" width="14.85546875" style="3" bestFit="1" customWidth="1"/>
    <col min="10" max="16384" width="10.85546875" style="3"/>
  </cols>
  <sheetData>
    <row r="1" spans="1:15" ht="22.5">
      <c r="A1" s="704" t="s">
        <v>394</v>
      </c>
      <c r="B1" s="705"/>
      <c r="C1" s="706"/>
      <c r="G1" s="704" t="s">
        <v>402</v>
      </c>
      <c r="H1" s="705"/>
      <c r="I1" s="706"/>
    </row>
    <row r="2" spans="1:15" ht="16.5">
      <c r="A2" s="78"/>
      <c r="B2" s="79"/>
      <c r="C2" s="80"/>
      <c r="G2" s="78"/>
      <c r="H2" s="79"/>
      <c r="I2" s="89"/>
    </row>
    <row r="3" spans="1:15" ht="22.5">
      <c r="A3" s="710" t="s">
        <v>423</v>
      </c>
      <c r="B3" s="710"/>
      <c r="C3" s="710"/>
      <c r="D3" s="710"/>
      <c r="E3" s="710"/>
      <c r="F3" s="710"/>
      <c r="G3" s="710"/>
      <c r="H3" s="710"/>
      <c r="I3" s="710"/>
      <c r="L3" s="427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15" t="s">
        <v>1</v>
      </c>
      <c r="B5" s="715"/>
      <c r="C5" s="81" t="s">
        <v>252</v>
      </c>
      <c r="D5" s="81" t="s">
        <v>65</v>
      </c>
      <c r="E5" s="81" t="s">
        <v>51</v>
      </c>
      <c r="G5" s="707" t="s">
        <v>38</v>
      </c>
      <c r="H5" s="708"/>
      <c r="I5" s="90" t="s">
        <v>253</v>
      </c>
    </row>
    <row r="6" spans="1:15" s="5" customFormat="1" ht="22.5" customHeight="1" thickBot="1">
      <c r="A6" s="712" t="s">
        <v>2</v>
      </c>
      <c r="B6" s="84" t="s">
        <v>188</v>
      </c>
      <c r="C6" s="85">
        <f>'1.1 Détails Investissements'!B5+'1.1 Détails Investissements'!D5</f>
        <v>3800</v>
      </c>
      <c r="D6" s="83" t="e">
        <f>'1.1 Détails Investissements'!#REF!</f>
        <v>#REF!</v>
      </c>
      <c r="E6" s="83" t="e">
        <f>'1.1 Détails Investissements'!#REF!</f>
        <v>#REF!</v>
      </c>
      <c r="G6" s="711" t="s">
        <v>39</v>
      </c>
      <c r="H6" s="84" t="s">
        <v>40</v>
      </c>
      <c r="I6" s="554"/>
      <c r="J6" s="381"/>
      <c r="K6" s="382" t="s">
        <v>338</v>
      </c>
      <c r="L6" s="382"/>
      <c r="M6" s="384"/>
      <c r="N6" s="383" t="s">
        <v>339</v>
      </c>
      <c r="O6" s="514"/>
    </row>
    <row r="7" spans="1:15" s="5" customFormat="1" ht="22.5" customHeight="1" thickBot="1">
      <c r="A7" s="713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1558</v>
      </c>
      <c r="E7" s="85" t="e">
        <f>'1.1 Détails Investissements'!#REF!</f>
        <v>#REF!</v>
      </c>
      <c r="G7" s="711"/>
      <c r="H7" s="84" t="s">
        <v>41</v>
      </c>
      <c r="I7" s="85">
        <f>'1.1 Détails Investissements'!D62+'1.2 Détails stocks'!F23+'1.2 Détails stocks'!G23</f>
        <v>600</v>
      </c>
      <c r="J7" s="382"/>
      <c r="K7" s="382" t="s">
        <v>338</v>
      </c>
      <c r="L7" s="382"/>
      <c r="M7" s="384"/>
      <c r="N7" s="383" t="s">
        <v>339</v>
      </c>
      <c r="O7" s="514"/>
    </row>
    <row r="8" spans="1:15" s="5" customFormat="1" ht="22.5" customHeight="1">
      <c r="A8" s="713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11"/>
      <c r="H8" s="555" t="s">
        <v>280</v>
      </c>
      <c r="I8" s="554"/>
      <c r="J8" s="12"/>
      <c r="K8" s="12"/>
      <c r="L8" s="12"/>
      <c r="M8" s="12"/>
      <c r="N8" s="12"/>
      <c r="O8" s="12"/>
    </row>
    <row r="9" spans="1:15" s="5" customFormat="1" ht="22.5" customHeight="1">
      <c r="A9" s="713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11"/>
      <c r="H9" s="555" t="s">
        <v>487</v>
      </c>
      <c r="I9" s="554"/>
      <c r="J9" s="12"/>
      <c r="K9" s="12"/>
      <c r="L9" s="12"/>
      <c r="M9" s="12"/>
      <c r="N9" s="12"/>
      <c r="O9" s="12"/>
    </row>
    <row r="10" spans="1:15" s="5" customFormat="1" ht="22.5" customHeight="1">
      <c r="A10" s="713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11"/>
      <c r="H10" s="555"/>
      <c r="I10" s="554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13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11"/>
      <c r="H11" s="555"/>
      <c r="I11" s="554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13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09" t="s">
        <v>11</v>
      </c>
      <c r="H12" s="709"/>
      <c r="I12" s="316">
        <f>SUM(I6:I9)</f>
        <v>600</v>
      </c>
      <c r="J12" s="509">
        <f>(I12+I16)/I26</f>
        <v>4.7430419141964227E-2</v>
      </c>
      <c r="K12" s="390" t="s">
        <v>261</v>
      </c>
      <c r="L12" s="391"/>
      <c r="M12" s="392"/>
    </row>
    <row r="13" spans="1:15" s="5" customFormat="1" ht="22.5" customHeight="1">
      <c r="A13" s="713"/>
      <c r="B13" s="86" t="s">
        <v>9</v>
      </c>
      <c r="C13" s="85">
        <f>'1.1 Détails Investissements'!B44+'1.1 Détails Investissements'!D44</f>
        <v>2800</v>
      </c>
      <c r="D13" s="85">
        <f>'1.1 Détails Investissements'!E40</f>
        <v>0</v>
      </c>
      <c r="E13" s="85" t="e">
        <f>'1.1 Détails Investissements'!#REF!</f>
        <v>#REF!</v>
      </c>
      <c r="G13" s="723" t="s">
        <v>42</v>
      </c>
      <c r="H13" s="84" t="s">
        <v>281</v>
      </c>
      <c r="I13" s="85">
        <f>C26-I12-I14-I15-I16-I25</f>
        <v>12050.109589041096</v>
      </c>
      <c r="J13" s="510">
        <f>IF(J14&gt;0,I13-J14,0)</f>
        <v>8033.4063926940635</v>
      </c>
      <c r="K13" s="507" t="s">
        <v>462</v>
      </c>
      <c r="L13" s="507"/>
      <c r="M13" s="508"/>
      <c r="N13" s="12"/>
      <c r="O13" s="12"/>
    </row>
    <row r="14" spans="1:15" s="5" customFormat="1" ht="22.5" customHeight="1">
      <c r="A14" s="713"/>
      <c r="B14" s="84" t="s">
        <v>10</v>
      </c>
      <c r="C14" s="85">
        <f>'1.1 Détails Investissements'!B53+'1.1 Détails Investissements'!D53</f>
        <v>700</v>
      </c>
      <c r="D14" s="85">
        <f>'1.1 Détails Investissements'!E44</f>
        <v>0</v>
      </c>
      <c r="E14" s="85" t="e">
        <f>'1.1 Détails Investissements'!#REF!</f>
        <v>#REF!</v>
      </c>
      <c r="G14" s="724"/>
      <c r="H14" s="555" t="s">
        <v>251</v>
      </c>
      <c r="I14" s="554"/>
      <c r="J14" s="510">
        <f>IF(I26&gt;45000,0,IF(I13/3&lt;2000,0,IF(I13/3&lt;7000,I13/3,7000)))</f>
        <v>4016.7031963470322</v>
      </c>
      <c r="K14" s="507" t="s">
        <v>477</v>
      </c>
      <c r="L14" s="507"/>
      <c r="M14" s="125" t="s">
        <v>463</v>
      </c>
      <c r="N14" s="12"/>
      <c r="O14" s="12"/>
    </row>
    <row r="15" spans="1:15" s="5" customFormat="1" ht="22.5" customHeight="1" thickBot="1">
      <c r="A15" s="713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24"/>
      <c r="H15" s="555" t="s">
        <v>510</v>
      </c>
      <c r="I15" s="554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14"/>
      <c r="B16" s="84" t="s">
        <v>189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24"/>
      <c r="H16" s="555" t="s">
        <v>43</v>
      </c>
      <c r="I16" s="554"/>
      <c r="J16" s="381"/>
      <c r="K16" s="382" t="s">
        <v>338</v>
      </c>
      <c r="L16" s="382"/>
      <c r="M16" s="384"/>
      <c r="N16" s="383" t="s">
        <v>339</v>
      </c>
      <c r="O16" s="514"/>
    </row>
    <row r="17" spans="1:15" s="5" customFormat="1" ht="22.5" customHeight="1">
      <c r="A17" s="716" t="s">
        <v>11</v>
      </c>
      <c r="B17" s="717"/>
      <c r="C17" s="88">
        <f>SUM(C6:C16)</f>
        <v>7300</v>
      </c>
      <c r="D17" s="85">
        <f>'1.1 Détails Investissements'!E60</f>
        <v>0</v>
      </c>
      <c r="E17" s="85" t="e">
        <f>'1.1 Détails Investissements'!#REF!</f>
        <v>#REF!</v>
      </c>
      <c r="G17" s="724"/>
      <c r="H17" s="555"/>
      <c r="I17" s="554"/>
      <c r="J17" s="12"/>
      <c r="K17" s="12"/>
      <c r="L17" s="12"/>
      <c r="M17" s="12"/>
      <c r="N17" s="12"/>
      <c r="O17" s="12"/>
    </row>
    <row r="18" spans="1:15" s="5" customFormat="1" ht="22.5" customHeight="1">
      <c r="A18" s="712" t="s">
        <v>12</v>
      </c>
      <c r="B18" s="84" t="s">
        <v>348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25"/>
      <c r="H18" s="555"/>
      <c r="I18" s="554"/>
    </row>
    <row r="19" spans="1:15" s="5" customFormat="1" ht="22.5" customHeight="1">
      <c r="A19" s="713"/>
      <c r="B19" s="84" t="s">
        <v>349</v>
      </c>
      <c r="C19" s="85">
        <f>'1.2 Détails stocks'!C23+'1.2 Détails stocks'!F23</f>
        <v>0</v>
      </c>
      <c r="D19" s="394">
        <v>0</v>
      </c>
      <c r="E19" s="394">
        <v>0</v>
      </c>
      <c r="G19" s="721" t="s">
        <v>13</v>
      </c>
      <c r="H19" s="722"/>
      <c r="I19" s="88">
        <f>SUM(I13:I17)</f>
        <v>12050.109589041096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13"/>
      <c r="B20" s="84"/>
      <c r="C20" s="87"/>
      <c r="D20" s="394">
        <v>0</v>
      </c>
      <c r="E20" s="394">
        <v>0</v>
      </c>
      <c r="G20" s="723" t="s">
        <v>44</v>
      </c>
      <c r="H20" s="555" t="s">
        <v>497</v>
      </c>
      <c r="I20" s="554"/>
      <c r="J20" s="12"/>
      <c r="K20" s="12"/>
      <c r="L20" s="12"/>
      <c r="M20" s="12"/>
      <c r="N20" s="12"/>
      <c r="O20" s="12"/>
    </row>
    <row r="21" spans="1:15" s="5" customFormat="1" ht="22.5" customHeight="1">
      <c r="A21" s="713"/>
      <c r="B21" s="104" t="s">
        <v>240</v>
      </c>
      <c r="C21" s="85">
        <f>'1.1 Détails Investissements'!C62</f>
        <v>1313.1999999999998</v>
      </c>
      <c r="D21" s="394">
        <v>0</v>
      </c>
      <c r="E21" s="394">
        <v>0</v>
      </c>
      <c r="G21" s="724"/>
      <c r="H21" s="555" t="s">
        <v>45</v>
      </c>
      <c r="I21" s="554"/>
      <c r="K21" s="12"/>
      <c r="L21" s="12"/>
      <c r="M21" s="12"/>
      <c r="N21" s="12"/>
      <c r="O21" s="12"/>
    </row>
    <row r="22" spans="1:15" s="5" customFormat="1" ht="22.5" customHeight="1">
      <c r="A22" s="713"/>
      <c r="B22" s="104" t="s">
        <v>239</v>
      </c>
      <c r="C22" s="85">
        <f>'1.2 Détails stocks'!E23</f>
        <v>0</v>
      </c>
      <c r="D22" s="394">
        <v>0</v>
      </c>
      <c r="E22" s="394">
        <v>0</v>
      </c>
      <c r="G22" s="724"/>
      <c r="H22" s="555" t="s">
        <v>489</v>
      </c>
      <c r="I22" s="554"/>
      <c r="J22" s="12"/>
      <c r="K22" s="12"/>
      <c r="L22" s="12"/>
      <c r="M22" s="12"/>
      <c r="N22" s="12"/>
      <c r="O22" s="12"/>
    </row>
    <row r="23" spans="1:15" s="5" customFormat="1" ht="22.5" customHeight="1">
      <c r="A23" s="713"/>
      <c r="B23" s="84" t="s">
        <v>351</v>
      </c>
      <c r="C23" s="85">
        <f>'1.3 Ma trésorerie de départ'!D32</f>
        <v>3225</v>
      </c>
      <c r="D23" s="394">
        <v>0</v>
      </c>
      <c r="E23" s="394">
        <v>0</v>
      </c>
      <c r="G23" s="724"/>
      <c r="H23" s="555" t="s">
        <v>0</v>
      </c>
      <c r="I23" s="554"/>
      <c r="J23" s="522" t="s">
        <v>488</v>
      </c>
      <c r="K23" s="12"/>
      <c r="L23" s="12"/>
      <c r="M23" s="12"/>
      <c r="N23" s="12"/>
      <c r="O23" s="12"/>
    </row>
    <row r="24" spans="1:15" s="5" customFormat="1" ht="25.5" customHeight="1">
      <c r="A24" s="714"/>
      <c r="B24" s="84" t="s">
        <v>352</v>
      </c>
      <c r="C24" s="85">
        <f>'1,31 BFR'!C58</f>
        <v>811.90958904109584</v>
      </c>
      <c r="D24" s="426"/>
      <c r="E24" s="426"/>
      <c r="G24" s="725"/>
      <c r="H24" s="556"/>
      <c r="I24" s="554"/>
    </row>
    <row r="25" spans="1:15" s="5" customFormat="1" ht="22.5" customHeight="1">
      <c r="A25" s="718" t="s">
        <v>13</v>
      </c>
      <c r="B25" s="717"/>
      <c r="C25" s="88">
        <f>SUM(C18:C24)</f>
        <v>5350.1095890410961</v>
      </c>
      <c r="D25" s="394">
        <v>0</v>
      </c>
      <c r="E25" s="394">
        <v>0</v>
      </c>
      <c r="G25" s="721" t="s">
        <v>46</v>
      </c>
      <c r="H25" s="722"/>
      <c r="I25" s="88">
        <f>SUM(I20:I24)</f>
        <v>0</v>
      </c>
    </row>
    <row r="26" spans="1:15" s="5" customFormat="1" ht="22.5" customHeight="1">
      <c r="A26" s="719" t="s">
        <v>14</v>
      </c>
      <c r="B26" s="720"/>
      <c r="C26" s="256">
        <f>C17+C25</f>
        <v>12650.109589041096</v>
      </c>
      <c r="D26" s="88">
        <f>SUM(D19:D25)</f>
        <v>0</v>
      </c>
      <c r="E26" s="88">
        <f>SUM(E19:E25)</f>
        <v>0</v>
      </c>
      <c r="G26" s="726" t="s">
        <v>47</v>
      </c>
      <c r="H26" s="727"/>
      <c r="I26" s="256">
        <f>I12+I19+I25</f>
        <v>12650.109589041096</v>
      </c>
      <c r="J26" s="13"/>
      <c r="K26" s="13"/>
      <c r="L26" s="13"/>
      <c r="M26" s="13"/>
      <c r="N26" s="13"/>
      <c r="O26" s="13"/>
    </row>
    <row r="27" spans="1:15" ht="19.5">
      <c r="D27" s="521"/>
      <c r="E27" s="521"/>
    </row>
  </sheetData>
  <sheetProtection password="F060" sheet="1" objects="1" scenarios="1"/>
  <mergeCells count="17">
    <mergeCell ref="A6:A16"/>
    <mergeCell ref="G6:G11"/>
    <mergeCell ref="G12:H12"/>
    <mergeCell ref="G13:G18"/>
    <mergeCell ref="A17:B17"/>
    <mergeCell ref="A18:A24"/>
    <mergeCell ref="G19:H19"/>
    <mergeCell ref="A1:C1"/>
    <mergeCell ref="G1:I1"/>
    <mergeCell ref="A3:I3"/>
    <mergeCell ref="A5:B5"/>
    <mergeCell ref="G5:H5"/>
    <mergeCell ref="G20:G24"/>
    <mergeCell ref="A25:B25"/>
    <mergeCell ref="G25:H25"/>
    <mergeCell ref="A26:B26"/>
    <mergeCell ref="G26:H26"/>
  </mergeCells>
  <printOptions horizontalCentered="1"/>
  <pageMargins left="0.25" right="0.25" top="0.75" bottom="0.75" header="0.3" footer="0.3"/>
  <pageSetup paperSize="9" scale="75" orientation="landscape" horizontalDpi="4294967294"/>
  <headerFooter alignWithMargins="0">
    <oddHeader>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50"/>
  </sheetPr>
  <dimension ref="A1:J372"/>
  <sheetViews>
    <sheetView showGridLines="0" view="pageLayout" topLeftCell="A47" workbookViewId="0">
      <selection activeCell="B62" sqref="B62"/>
    </sheetView>
  </sheetViews>
  <sheetFormatPr baseColWidth="10" defaultColWidth="10.85546875" defaultRowHeight="12.75"/>
  <cols>
    <col min="1" max="1" width="33.42578125" style="6" customWidth="1"/>
    <col min="2" max="2" width="10.85546875" style="37"/>
    <col min="3" max="3" width="9.42578125" style="37" customWidth="1"/>
    <col min="4" max="5" width="11.28515625" style="6" customWidth="1"/>
    <col min="6" max="6" width="15.140625" style="6" customWidth="1"/>
    <col min="7" max="16384" width="10.85546875" style="6"/>
  </cols>
  <sheetData>
    <row r="1" spans="1:10" ht="22.5">
      <c r="A1" s="729" t="s">
        <v>472</v>
      </c>
      <c r="B1" s="730"/>
      <c r="C1" s="730"/>
      <c r="D1" s="730"/>
      <c r="E1" s="730"/>
      <c r="F1" s="567"/>
      <c r="G1" s="567"/>
      <c r="H1" s="567"/>
      <c r="I1" s="567"/>
      <c r="J1" s="567"/>
    </row>
    <row r="2" spans="1:10" ht="15">
      <c r="A2" s="568"/>
      <c r="B2" s="569"/>
      <c r="C2" s="570"/>
      <c r="D2" s="568"/>
      <c r="E2" s="567"/>
      <c r="F2" s="567"/>
      <c r="G2" s="567"/>
      <c r="H2" s="567"/>
      <c r="I2" s="567"/>
      <c r="J2" s="567"/>
    </row>
    <row r="3" spans="1:10" ht="18.75" customHeight="1">
      <c r="A3" s="728" t="str">
        <f>'1.0 Plan de financement'!A3:C3</f>
        <v>Allizéo Web</v>
      </c>
      <c r="B3" s="728"/>
      <c r="C3" s="571"/>
      <c r="D3" s="572"/>
      <c r="E3" s="567"/>
      <c r="F3" s="567"/>
      <c r="G3" s="567"/>
      <c r="H3" s="567"/>
      <c r="I3" s="567"/>
      <c r="J3" s="567"/>
    </row>
    <row r="4" spans="1:10" ht="20.25" customHeight="1">
      <c r="A4" s="568"/>
      <c r="B4" s="573" t="s">
        <v>184</v>
      </c>
      <c r="C4" s="573" t="s">
        <v>190</v>
      </c>
      <c r="D4" s="574" t="s">
        <v>401</v>
      </c>
      <c r="E4" s="575" t="s">
        <v>65</v>
      </c>
      <c r="F4" s="567"/>
      <c r="G4" s="567"/>
      <c r="H4" s="567"/>
      <c r="I4" s="567"/>
      <c r="J4" s="567"/>
    </row>
    <row r="5" spans="1:10" s="8" customFormat="1" ht="21" customHeight="1">
      <c r="A5" s="576" t="s">
        <v>395</v>
      </c>
      <c r="B5" s="577">
        <f>SUM(B6:B9)</f>
        <v>3800</v>
      </c>
      <c r="C5" s="577">
        <f>SUM(C6:C9)</f>
        <v>744.80000000000007</v>
      </c>
      <c r="D5" s="577">
        <f>SUM(D6:D9)</f>
        <v>0</v>
      </c>
      <c r="E5" s="577">
        <f>SUM(E6:E9)</f>
        <v>1558</v>
      </c>
      <c r="F5" s="578"/>
      <c r="G5" s="578"/>
      <c r="H5" s="578"/>
      <c r="I5" s="578"/>
      <c r="J5" s="579"/>
    </row>
    <row r="6" spans="1:10" s="558" customFormat="1" ht="21" customHeight="1">
      <c r="A6" s="557" t="s">
        <v>522</v>
      </c>
      <c r="B6" s="525">
        <v>1000</v>
      </c>
      <c r="C6" s="564">
        <f>B6*19.6%</f>
        <v>196</v>
      </c>
      <c r="D6" s="525"/>
      <c r="E6" s="525">
        <v>479</v>
      </c>
      <c r="H6" s="578"/>
      <c r="I6" s="578"/>
      <c r="J6" s="579"/>
    </row>
    <row r="7" spans="1:10" s="558" customFormat="1" ht="21" customHeight="1">
      <c r="A7" s="557" t="s">
        <v>521</v>
      </c>
      <c r="B7" s="525">
        <v>1400</v>
      </c>
      <c r="C7" s="564">
        <f>B7*19.6%</f>
        <v>274.40000000000003</v>
      </c>
      <c r="D7" s="525"/>
      <c r="E7" s="525">
        <v>700</v>
      </c>
      <c r="H7" s="578"/>
      <c r="I7" s="578"/>
      <c r="J7" s="579"/>
    </row>
    <row r="8" spans="1:10" s="558" customFormat="1" ht="21" customHeight="1">
      <c r="A8" s="557" t="s">
        <v>535</v>
      </c>
      <c r="B8" s="525">
        <v>1400</v>
      </c>
      <c r="C8" s="564">
        <f>B8*19.6%</f>
        <v>274.40000000000003</v>
      </c>
      <c r="D8" s="525"/>
      <c r="E8" s="525"/>
      <c r="H8" s="578"/>
      <c r="I8" s="578"/>
      <c r="J8" s="579"/>
    </row>
    <row r="9" spans="1:10" s="558" customFormat="1" ht="21" customHeight="1">
      <c r="A9" s="696" t="s">
        <v>520</v>
      </c>
      <c r="B9" s="77"/>
      <c r="C9" s="564">
        <f>B9*19.6%</f>
        <v>0</v>
      </c>
      <c r="D9" s="77"/>
      <c r="E9" s="77">
        <v>379</v>
      </c>
      <c r="H9" s="578"/>
      <c r="I9" s="578"/>
      <c r="J9" s="578"/>
    </row>
    <row r="10" spans="1:10" s="8" customFormat="1" ht="21" customHeight="1">
      <c r="A10" s="576" t="s">
        <v>396</v>
      </c>
      <c r="B10" s="577">
        <f>SUM(B11:B11)</f>
        <v>0</v>
      </c>
      <c r="C10" s="577" t="s">
        <v>0</v>
      </c>
      <c r="D10" s="577">
        <f>SUM(D11:D11)</f>
        <v>0</v>
      </c>
      <c r="E10" s="577">
        <f>SUM(E11:E11)</f>
        <v>0</v>
      </c>
      <c r="F10" s="562" t="s">
        <v>354</v>
      </c>
      <c r="G10" s="580"/>
      <c r="H10" s="580"/>
      <c r="I10" s="580"/>
      <c r="J10" s="563"/>
    </row>
    <row r="11" spans="1:10" s="8" customFormat="1" ht="21" customHeight="1">
      <c r="A11" s="559"/>
      <c r="B11" s="77"/>
      <c r="C11" s="581"/>
      <c r="D11" s="77"/>
      <c r="E11" s="77"/>
      <c r="F11" s="562" t="s">
        <v>353</v>
      </c>
      <c r="G11" s="580"/>
      <c r="H11" s="580"/>
      <c r="I11" s="580"/>
      <c r="J11" s="563"/>
    </row>
    <row r="12" spans="1:10" s="8" customFormat="1" ht="21" customHeight="1">
      <c r="A12" s="576" t="s">
        <v>397</v>
      </c>
      <c r="B12" s="577">
        <f>SUM(B13:B13)</f>
        <v>0</v>
      </c>
      <c r="C12" s="577"/>
      <c r="D12" s="577">
        <f>SUM(D13:D13)</f>
        <v>0</v>
      </c>
      <c r="E12" s="577">
        <f>SUM(E13:E13)</f>
        <v>0</v>
      </c>
      <c r="F12" s="580"/>
      <c r="G12" s="563"/>
      <c r="H12" s="563"/>
      <c r="I12" s="563"/>
      <c r="J12" s="563"/>
    </row>
    <row r="13" spans="1:10" s="8" customFormat="1" ht="21" customHeight="1">
      <c r="A13" s="559"/>
      <c r="B13" s="77"/>
      <c r="C13" s="581"/>
      <c r="D13" s="77"/>
      <c r="E13" s="77"/>
      <c r="F13" s="562" t="s">
        <v>313</v>
      </c>
      <c r="G13" s="582">
        <f>IF((B10+D10+B12+D12)&lt;23000,0,((B10+D10+B12+D12)-23000)*5%)</f>
        <v>0</v>
      </c>
      <c r="H13" s="563"/>
      <c r="I13" s="563"/>
      <c r="J13" s="563"/>
    </row>
    <row r="14" spans="1:10" s="8" customFormat="1" ht="21" customHeight="1">
      <c r="A14" s="576" t="s">
        <v>15</v>
      </c>
      <c r="B14" s="577">
        <f>SUM(B15:B15)</f>
        <v>0</v>
      </c>
      <c r="C14" s="577">
        <f>SUM(C15:C15)</f>
        <v>0</v>
      </c>
      <c r="D14" s="577">
        <f>SUM(D15:D15)</f>
        <v>0</v>
      </c>
      <c r="E14" s="577">
        <f>SUM(E15:E15)</f>
        <v>0</v>
      </c>
      <c r="F14" s="558"/>
      <c r="G14" s="558"/>
      <c r="H14" s="578"/>
      <c r="I14" s="578"/>
      <c r="J14" s="578"/>
    </row>
    <row r="15" spans="1:10" s="8" customFormat="1" ht="21" customHeight="1">
      <c r="A15" s="559"/>
      <c r="B15" s="77"/>
      <c r="C15" s="564">
        <f>B15*19.6%</f>
        <v>0</v>
      </c>
      <c r="D15" s="77"/>
      <c r="E15" s="77"/>
      <c r="F15" s="558"/>
      <c r="G15" s="558"/>
      <c r="H15" s="578"/>
      <c r="I15" s="578"/>
      <c r="J15" s="578"/>
    </row>
    <row r="16" spans="1:10" s="8" customFormat="1" ht="21" customHeight="1">
      <c r="A16" s="576" t="s">
        <v>16</v>
      </c>
      <c r="B16" s="577">
        <f>SUM(B17:B29)</f>
        <v>0</v>
      </c>
      <c r="C16" s="577">
        <f>SUM(C17:C29)</f>
        <v>0</v>
      </c>
      <c r="D16" s="577">
        <f>SUM(D17:D29)</f>
        <v>0</v>
      </c>
      <c r="E16" s="577">
        <f>SUM(E17:E29)</f>
        <v>0</v>
      </c>
      <c r="F16" s="558"/>
      <c r="G16" s="558"/>
      <c r="H16" s="578"/>
      <c r="I16" s="578"/>
      <c r="J16" s="578"/>
    </row>
    <row r="17" spans="1:10" s="558" customFormat="1" ht="21" customHeight="1">
      <c r="A17" s="559"/>
      <c r="B17" s="77"/>
      <c r="C17" s="564">
        <f t="shared" ref="C17:C29" si="0">B17*19.6%</f>
        <v>0</v>
      </c>
      <c r="D17" s="77"/>
      <c r="E17" s="77"/>
      <c r="H17" s="578"/>
      <c r="I17" s="578"/>
      <c r="J17" s="578"/>
    </row>
    <row r="18" spans="1:10" s="558" customFormat="1" ht="21" customHeight="1">
      <c r="A18" s="559"/>
      <c r="B18" s="77"/>
      <c r="C18" s="564">
        <f t="shared" si="0"/>
        <v>0</v>
      </c>
      <c r="D18" s="77"/>
      <c r="E18" s="77"/>
      <c r="F18" s="654"/>
      <c r="G18" s="655"/>
      <c r="H18" s="579"/>
      <c r="I18" s="579"/>
      <c r="J18" s="579"/>
    </row>
    <row r="19" spans="1:10" s="558" customFormat="1" ht="21" customHeight="1">
      <c r="A19" s="559"/>
      <c r="B19" s="77"/>
      <c r="C19" s="564">
        <f t="shared" si="0"/>
        <v>0</v>
      </c>
      <c r="D19" s="77"/>
      <c r="E19" s="77"/>
      <c r="F19" s="654"/>
      <c r="G19" s="655"/>
      <c r="H19" s="579"/>
      <c r="I19" s="579"/>
      <c r="J19" s="579"/>
    </row>
    <row r="20" spans="1:10" s="558" customFormat="1" ht="21" customHeight="1">
      <c r="A20" s="559"/>
      <c r="B20" s="77"/>
      <c r="C20" s="564">
        <f t="shared" si="0"/>
        <v>0</v>
      </c>
      <c r="D20" s="77"/>
      <c r="E20" s="77"/>
      <c r="F20" s="654"/>
      <c r="G20" s="655"/>
      <c r="H20" s="579"/>
      <c r="I20" s="579"/>
      <c r="J20" s="579"/>
    </row>
    <row r="21" spans="1:10" s="558" customFormat="1" ht="21" customHeight="1">
      <c r="A21" s="559"/>
      <c r="B21" s="77"/>
      <c r="C21" s="564">
        <f t="shared" si="0"/>
        <v>0</v>
      </c>
      <c r="D21" s="77"/>
      <c r="E21" s="77"/>
      <c r="F21" s="654"/>
      <c r="G21" s="655"/>
      <c r="H21" s="579"/>
      <c r="I21" s="579"/>
      <c r="J21" s="579"/>
    </row>
    <row r="22" spans="1:10" s="558" customFormat="1" ht="21" customHeight="1">
      <c r="A22" s="559"/>
      <c r="B22" s="77"/>
      <c r="C22" s="564">
        <f t="shared" si="0"/>
        <v>0</v>
      </c>
      <c r="D22" s="77"/>
      <c r="E22" s="77"/>
      <c r="F22" s="654"/>
      <c r="G22" s="655"/>
      <c r="H22" s="579"/>
      <c r="I22" s="579"/>
      <c r="J22" s="579"/>
    </row>
    <row r="23" spans="1:10" s="558" customFormat="1" ht="21" customHeight="1">
      <c r="A23" s="559"/>
      <c r="B23" s="77"/>
      <c r="C23" s="564">
        <f t="shared" si="0"/>
        <v>0</v>
      </c>
      <c r="D23" s="77"/>
      <c r="E23" s="77"/>
      <c r="F23" s="654"/>
      <c r="G23" s="655"/>
      <c r="H23" s="579"/>
      <c r="I23" s="579"/>
      <c r="J23" s="579"/>
    </row>
    <row r="24" spans="1:10" s="558" customFormat="1" ht="21" customHeight="1">
      <c r="A24" s="559"/>
      <c r="B24" s="77"/>
      <c r="C24" s="564">
        <f t="shared" si="0"/>
        <v>0</v>
      </c>
      <c r="D24" s="77"/>
      <c r="E24" s="77"/>
      <c r="F24" s="654"/>
      <c r="G24" s="655"/>
      <c r="H24" s="579"/>
      <c r="I24" s="579"/>
      <c r="J24" s="579"/>
    </row>
    <row r="25" spans="1:10" s="558" customFormat="1" ht="21" customHeight="1">
      <c r="A25" s="559"/>
      <c r="B25" s="77"/>
      <c r="C25" s="564">
        <f t="shared" si="0"/>
        <v>0</v>
      </c>
      <c r="D25" s="77"/>
      <c r="E25" s="77"/>
      <c r="F25" s="654"/>
      <c r="G25" s="655"/>
      <c r="H25" s="579"/>
      <c r="I25" s="579"/>
      <c r="J25" s="579"/>
    </row>
    <row r="26" spans="1:10" s="558" customFormat="1" ht="21" customHeight="1">
      <c r="A26" s="559"/>
      <c r="B26" s="77"/>
      <c r="C26" s="564">
        <f t="shared" si="0"/>
        <v>0</v>
      </c>
      <c r="D26" s="77"/>
      <c r="E26" s="77"/>
      <c r="F26" s="654"/>
      <c r="G26" s="655"/>
      <c r="H26" s="579"/>
      <c r="I26" s="579"/>
      <c r="J26" s="579"/>
    </row>
    <row r="27" spans="1:10" s="558" customFormat="1" ht="21" customHeight="1">
      <c r="A27" s="559"/>
      <c r="B27" s="77"/>
      <c r="C27" s="564">
        <f t="shared" si="0"/>
        <v>0</v>
      </c>
      <c r="D27" s="77"/>
      <c r="E27" s="77"/>
      <c r="F27" s="562" t="s">
        <v>427</v>
      </c>
      <c r="G27" s="563"/>
      <c r="H27" s="563"/>
      <c r="I27" s="563"/>
      <c r="J27" s="563"/>
    </row>
    <row r="28" spans="1:10" s="558" customFormat="1" ht="21" customHeight="1" thickBot="1">
      <c r="A28" s="559"/>
      <c r="B28" s="77"/>
      <c r="C28" s="564">
        <f t="shared" si="0"/>
        <v>0</v>
      </c>
      <c r="D28" s="77"/>
      <c r="E28" s="77"/>
      <c r="F28" s="562" t="s">
        <v>426</v>
      </c>
      <c r="G28" s="563"/>
      <c r="H28" s="563"/>
      <c r="I28" s="563"/>
      <c r="J28" s="563"/>
    </row>
    <row r="29" spans="1:10" s="558" customFormat="1" ht="21" customHeight="1" thickBot="1">
      <c r="A29" s="559"/>
      <c r="B29" s="77"/>
      <c r="C29" s="564">
        <f t="shared" si="0"/>
        <v>0</v>
      </c>
      <c r="D29" s="77"/>
      <c r="E29" s="77"/>
      <c r="F29" s="562" t="s">
        <v>490</v>
      </c>
      <c r="G29" s="563"/>
      <c r="H29" s="560"/>
      <c r="I29" s="562" t="s">
        <v>491</v>
      </c>
      <c r="J29" s="563"/>
    </row>
    <row r="30" spans="1:10" s="8" customFormat="1" ht="21" customHeight="1">
      <c r="A30" s="576" t="s">
        <v>400</v>
      </c>
      <c r="B30" s="577">
        <f>SUM(B31:B39)</f>
        <v>0</v>
      </c>
      <c r="C30" s="577">
        <f>SUM(C31:C39)</f>
        <v>0</v>
      </c>
      <c r="D30" s="577">
        <f>SUM(D31:D39)</f>
        <v>0</v>
      </c>
      <c r="E30" s="577">
        <f>SUM(E31:E39)</f>
        <v>0</v>
      </c>
      <c r="F30" s="558"/>
      <c r="G30" s="558"/>
      <c r="H30" s="558"/>
      <c r="I30" s="578"/>
      <c r="J30" s="578"/>
    </row>
    <row r="31" spans="1:10" s="558" customFormat="1" ht="21" customHeight="1">
      <c r="A31" s="559"/>
      <c r="B31" s="77"/>
      <c r="C31" s="564">
        <f t="shared" ref="C31:C39" si="1">B31*19.6%</f>
        <v>0</v>
      </c>
      <c r="D31" s="77"/>
      <c r="E31" s="77"/>
      <c r="I31" s="578"/>
      <c r="J31" s="578"/>
    </row>
    <row r="32" spans="1:10" s="558" customFormat="1" ht="21" customHeight="1">
      <c r="A32" s="559"/>
      <c r="B32" s="559"/>
      <c r="C32" s="564">
        <f t="shared" si="1"/>
        <v>0</v>
      </c>
      <c r="D32" s="77"/>
      <c r="E32" s="77"/>
      <c r="I32" s="578"/>
      <c r="J32" s="578"/>
    </row>
    <row r="33" spans="1:10" s="558" customFormat="1" ht="21" customHeight="1">
      <c r="A33" s="559"/>
      <c r="B33" s="559"/>
      <c r="C33" s="564">
        <f t="shared" si="1"/>
        <v>0</v>
      </c>
      <c r="D33" s="77"/>
      <c r="E33" s="77"/>
      <c r="I33" s="578"/>
      <c r="J33" s="578"/>
    </row>
    <row r="34" spans="1:10" s="558" customFormat="1" ht="21" customHeight="1">
      <c r="A34" s="559"/>
      <c r="B34" s="559"/>
      <c r="C34" s="564">
        <f t="shared" si="1"/>
        <v>0</v>
      </c>
      <c r="D34" s="77"/>
      <c r="E34" s="77"/>
      <c r="I34" s="578"/>
      <c r="J34" s="578"/>
    </row>
    <row r="35" spans="1:10" s="558" customFormat="1" ht="21" customHeight="1">
      <c r="A35" s="559"/>
      <c r="B35" s="559"/>
      <c r="C35" s="564">
        <f t="shared" si="1"/>
        <v>0</v>
      </c>
      <c r="D35" s="77"/>
      <c r="E35" s="77"/>
      <c r="I35" s="578"/>
      <c r="J35" s="578"/>
    </row>
    <row r="36" spans="1:10" s="558" customFormat="1" ht="21" customHeight="1">
      <c r="A36" s="559"/>
      <c r="B36" s="559"/>
      <c r="C36" s="564">
        <f t="shared" si="1"/>
        <v>0</v>
      </c>
      <c r="D36" s="77"/>
      <c r="E36" s="77"/>
      <c r="I36" s="578"/>
      <c r="J36" s="578"/>
    </row>
    <row r="37" spans="1:10" s="558" customFormat="1" ht="21.75" customHeight="1">
      <c r="A37" s="559"/>
      <c r="B37" s="561"/>
      <c r="C37" s="564">
        <f t="shared" si="1"/>
        <v>0</v>
      </c>
      <c r="D37" s="77"/>
      <c r="E37" s="77"/>
      <c r="I37" s="578"/>
      <c r="J37" s="578"/>
    </row>
    <row r="38" spans="1:10" s="558" customFormat="1" ht="21" customHeight="1">
      <c r="A38" s="559"/>
      <c r="B38" s="77"/>
      <c r="C38" s="564">
        <f t="shared" si="1"/>
        <v>0</v>
      </c>
      <c r="D38" s="77"/>
      <c r="E38" s="77"/>
      <c r="I38" s="578"/>
      <c r="J38" s="578"/>
    </row>
    <row r="39" spans="1:10" s="558" customFormat="1" ht="21" customHeight="1">
      <c r="A39" s="559"/>
      <c r="B39" s="559"/>
      <c r="C39" s="564">
        <f t="shared" si="1"/>
        <v>0</v>
      </c>
      <c r="D39" s="77"/>
      <c r="E39" s="77"/>
      <c r="I39" s="578"/>
      <c r="J39" s="578"/>
    </row>
    <row r="40" spans="1:10" s="8" customFormat="1" ht="22.5" customHeight="1">
      <c r="A40" s="583" t="s">
        <v>398</v>
      </c>
      <c r="B40" s="584">
        <f>SUM(B41:B43)</f>
        <v>0</v>
      </c>
      <c r="C40" s="584">
        <f>SUM(C41:C43)</f>
        <v>0</v>
      </c>
      <c r="D40" s="584">
        <f>SUM(D41:D43)</f>
        <v>0</v>
      </c>
      <c r="E40" s="584">
        <f>SUM(E41:E43)</f>
        <v>0</v>
      </c>
      <c r="F40" s="655"/>
      <c r="G40" s="655"/>
      <c r="H40" s="655"/>
      <c r="I40" s="579"/>
      <c r="J40" s="579"/>
    </row>
    <row r="41" spans="1:10" s="8" customFormat="1" ht="22.5" customHeight="1">
      <c r="A41" s="648"/>
      <c r="B41" s="77"/>
      <c r="C41" s="564">
        <f>B41*19.6%</f>
        <v>0</v>
      </c>
      <c r="D41" s="77"/>
      <c r="E41" s="77"/>
      <c r="F41" s="654"/>
      <c r="G41" s="655"/>
      <c r="H41" s="655"/>
      <c r="I41" s="579"/>
      <c r="J41" s="579"/>
    </row>
    <row r="42" spans="1:10" s="8" customFormat="1" ht="22.5" customHeight="1" thickBot="1">
      <c r="A42" s="559"/>
      <c r="B42" s="77"/>
      <c r="C42" s="564">
        <f>B42*19.6%</f>
        <v>0</v>
      </c>
      <c r="D42" s="77"/>
      <c r="E42" s="77"/>
      <c r="F42" s="562" t="s">
        <v>425</v>
      </c>
      <c r="G42" s="563"/>
      <c r="H42" s="563"/>
      <c r="I42" s="563"/>
      <c r="J42" s="563"/>
    </row>
    <row r="43" spans="1:10" s="8" customFormat="1" ht="22.5" customHeight="1" thickBot="1">
      <c r="A43" s="559"/>
      <c r="B43" s="77"/>
      <c r="C43" s="564">
        <f>B43*19.6%</f>
        <v>0</v>
      </c>
      <c r="D43" s="77"/>
      <c r="E43" s="77"/>
      <c r="F43" s="562" t="s">
        <v>490</v>
      </c>
      <c r="G43" s="563"/>
      <c r="H43" s="560"/>
      <c r="I43" s="562" t="s">
        <v>491</v>
      </c>
      <c r="J43" s="563"/>
    </row>
    <row r="44" spans="1:10" s="8" customFormat="1" ht="22.5" customHeight="1">
      <c r="A44" s="576" t="s">
        <v>17</v>
      </c>
      <c r="B44" s="577">
        <f>SUM(B45:B52)</f>
        <v>2200</v>
      </c>
      <c r="C44" s="577">
        <f>SUM(C45:C52)</f>
        <v>431.20000000000005</v>
      </c>
      <c r="D44" s="577">
        <f>SUM(D45:D52)</f>
        <v>600</v>
      </c>
      <c r="E44" s="577">
        <f>SUM(E45:E52)</f>
        <v>0</v>
      </c>
      <c r="F44" s="558"/>
      <c r="G44" s="558"/>
      <c r="H44" s="558"/>
      <c r="I44" s="578"/>
      <c r="J44" s="578"/>
    </row>
    <row r="45" spans="1:10" s="8" customFormat="1" ht="22.5" customHeight="1">
      <c r="A45" s="557" t="s">
        <v>523</v>
      </c>
      <c r="B45" s="525">
        <v>1600</v>
      </c>
      <c r="C45" s="564">
        <f t="shared" ref="C45:C52" si="2">B45*0.196</f>
        <v>313.60000000000002</v>
      </c>
      <c r="D45" s="525"/>
      <c r="E45" s="525"/>
      <c r="F45" s="558"/>
      <c r="G45" s="558"/>
      <c r="H45" s="558"/>
      <c r="I45" s="578"/>
      <c r="J45" s="578"/>
    </row>
    <row r="46" spans="1:10" s="8" customFormat="1" ht="22.5" customHeight="1">
      <c r="A46" s="557" t="s">
        <v>524</v>
      </c>
      <c r="B46" s="525">
        <v>500</v>
      </c>
      <c r="C46" s="564">
        <f t="shared" si="2"/>
        <v>98</v>
      </c>
      <c r="D46" s="525"/>
      <c r="E46" s="525"/>
      <c r="F46" s="558"/>
      <c r="G46" s="558"/>
      <c r="H46" s="558"/>
      <c r="I46" s="578"/>
      <c r="J46" s="578"/>
    </row>
    <row r="47" spans="1:10" s="8" customFormat="1" ht="22.5" customHeight="1">
      <c r="A47" s="557" t="s">
        <v>525</v>
      </c>
      <c r="B47" s="525">
        <v>100</v>
      </c>
      <c r="C47" s="564">
        <f t="shared" si="2"/>
        <v>19.600000000000001</v>
      </c>
      <c r="D47" s="525"/>
      <c r="E47" s="525"/>
      <c r="F47" s="558"/>
      <c r="G47" s="558"/>
      <c r="H47" s="558"/>
      <c r="I47" s="578"/>
      <c r="J47" s="578"/>
    </row>
    <row r="48" spans="1:10" s="8" customFormat="1" ht="22.5" customHeight="1">
      <c r="A48" s="557"/>
      <c r="B48" s="525"/>
      <c r="C48" s="564">
        <f t="shared" si="2"/>
        <v>0</v>
      </c>
      <c r="D48" s="525"/>
      <c r="E48" s="525"/>
      <c r="F48" s="558"/>
      <c r="G48" s="558"/>
      <c r="H48" s="558"/>
      <c r="I48" s="578"/>
      <c r="J48" s="578"/>
    </row>
    <row r="49" spans="1:10" s="8" customFormat="1" ht="22.5" customHeight="1">
      <c r="A49" s="557" t="s">
        <v>524</v>
      </c>
      <c r="B49" s="525"/>
      <c r="C49" s="564">
        <f t="shared" si="2"/>
        <v>0</v>
      </c>
      <c r="D49" s="525">
        <v>500</v>
      </c>
      <c r="E49" s="525"/>
      <c r="F49" s="558"/>
      <c r="G49" s="558"/>
      <c r="H49" s="558"/>
      <c r="I49" s="578"/>
      <c r="J49" s="578"/>
    </row>
    <row r="50" spans="1:10" s="8" customFormat="1" ht="22.5" customHeight="1">
      <c r="A50" s="557" t="s">
        <v>526</v>
      </c>
      <c r="B50" s="525"/>
      <c r="C50" s="564">
        <f t="shared" si="2"/>
        <v>0</v>
      </c>
      <c r="D50" s="525">
        <v>100</v>
      </c>
      <c r="E50" s="525"/>
      <c r="F50" s="558"/>
      <c r="G50" s="558"/>
      <c r="H50" s="558"/>
      <c r="I50" s="578"/>
      <c r="J50" s="578"/>
    </row>
    <row r="51" spans="1:10" s="8" customFormat="1" ht="22.5" customHeight="1">
      <c r="A51" s="557"/>
      <c r="B51" s="525"/>
      <c r="C51" s="564">
        <f t="shared" si="2"/>
        <v>0</v>
      </c>
      <c r="D51" s="525"/>
      <c r="E51" s="525"/>
      <c r="F51" s="558"/>
      <c r="G51" s="558"/>
      <c r="H51" s="558"/>
      <c r="I51" s="578"/>
      <c r="J51" s="578"/>
    </row>
    <row r="52" spans="1:10" s="8" customFormat="1" ht="22.5" customHeight="1">
      <c r="A52" s="565"/>
      <c r="B52" s="566"/>
      <c r="C52" s="564">
        <f t="shared" si="2"/>
        <v>0</v>
      </c>
      <c r="D52" s="525" t="s">
        <v>0</v>
      </c>
      <c r="E52" s="525" t="s">
        <v>0</v>
      </c>
      <c r="F52" s="558"/>
      <c r="G52" s="558"/>
      <c r="H52" s="558"/>
      <c r="I52" s="578"/>
      <c r="J52" s="578"/>
    </row>
    <row r="53" spans="1:10" s="8" customFormat="1" ht="22.5" customHeight="1">
      <c r="A53" s="576" t="s">
        <v>18</v>
      </c>
      <c r="B53" s="577">
        <f>SUM(B54:B59)</f>
        <v>700</v>
      </c>
      <c r="C53" s="577">
        <f>SUM(C54:C59)</f>
        <v>137.20000000000002</v>
      </c>
      <c r="D53" s="577">
        <f>SUM(D54:D54)</f>
        <v>0</v>
      </c>
      <c r="E53" s="577">
        <f>SUM(E54:E54)</f>
        <v>0</v>
      </c>
      <c r="F53" s="558"/>
      <c r="G53" s="558"/>
      <c r="H53" s="558"/>
      <c r="I53" s="578"/>
      <c r="J53" s="578"/>
    </row>
    <row r="54" spans="1:10" s="8" customFormat="1" ht="22.5" customHeight="1">
      <c r="A54" s="559" t="s">
        <v>537</v>
      </c>
      <c r="B54" s="525">
        <v>700</v>
      </c>
      <c r="C54" s="564">
        <f t="shared" ref="C54:C59" si="3">B54*19.6%</f>
        <v>137.20000000000002</v>
      </c>
      <c r="D54" s="77" t="s">
        <v>0</v>
      </c>
      <c r="E54" s="77" t="s">
        <v>0</v>
      </c>
      <c r="F54" s="558"/>
      <c r="G54" s="558"/>
      <c r="H54" s="558"/>
      <c r="I54" s="578"/>
      <c r="J54" s="578"/>
    </row>
    <row r="55" spans="1:10" s="8" customFormat="1" ht="22.5" customHeight="1">
      <c r="A55" s="559"/>
      <c r="B55" s="525"/>
      <c r="C55" s="564">
        <f t="shared" si="3"/>
        <v>0</v>
      </c>
      <c r="D55" s="77"/>
      <c r="E55" s="77"/>
      <c r="F55" s="558"/>
      <c r="G55" s="558"/>
      <c r="H55" s="558"/>
      <c r="I55" s="578"/>
      <c r="J55" s="578"/>
    </row>
    <row r="56" spans="1:10" s="8" customFormat="1" ht="22.5" customHeight="1">
      <c r="A56" s="559"/>
      <c r="B56" s="525"/>
      <c r="C56" s="564">
        <f t="shared" si="3"/>
        <v>0</v>
      </c>
      <c r="D56" s="77"/>
      <c r="E56" s="77"/>
      <c r="F56" s="558"/>
      <c r="G56" s="558"/>
      <c r="H56" s="558"/>
      <c r="I56" s="578"/>
      <c r="J56" s="578"/>
    </row>
    <row r="57" spans="1:10" s="8" customFormat="1" ht="22.5" customHeight="1">
      <c r="A57" s="559"/>
      <c r="B57" s="525"/>
      <c r="C57" s="564">
        <f t="shared" si="3"/>
        <v>0</v>
      </c>
      <c r="D57" s="77"/>
      <c r="E57" s="77"/>
      <c r="F57" s="558"/>
      <c r="G57" s="558"/>
      <c r="H57" s="558"/>
      <c r="I57" s="578"/>
      <c r="J57" s="578"/>
    </row>
    <row r="58" spans="1:10" s="8" customFormat="1" ht="22.5" customHeight="1">
      <c r="A58" s="559"/>
      <c r="B58" s="525"/>
      <c r="C58" s="564">
        <f t="shared" si="3"/>
        <v>0</v>
      </c>
      <c r="D58" s="77"/>
      <c r="E58" s="77"/>
      <c r="F58" s="558"/>
      <c r="G58" s="558"/>
      <c r="H58" s="558"/>
      <c r="I58" s="578"/>
      <c r="J58" s="578"/>
    </row>
    <row r="59" spans="1:10" s="8" customFormat="1" ht="22.5" customHeight="1">
      <c r="A59" s="559"/>
      <c r="B59" s="525"/>
      <c r="C59" s="564">
        <f t="shared" si="3"/>
        <v>0</v>
      </c>
      <c r="D59" s="77"/>
      <c r="E59" s="77"/>
      <c r="F59" s="558"/>
      <c r="G59" s="558"/>
      <c r="H59" s="558"/>
      <c r="I59" s="578"/>
      <c r="J59" s="578"/>
    </row>
    <row r="60" spans="1:10" s="8" customFormat="1" ht="22.5" customHeight="1">
      <c r="A60" s="576" t="s">
        <v>399</v>
      </c>
      <c r="B60" s="577">
        <f>SUM(B61:B61)</f>
        <v>0</v>
      </c>
      <c r="C60" s="577">
        <f>SUM(C61:C61)</f>
        <v>0</v>
      </c>
      <c r="D60" s="577">
        <f>SUM(D61:D61)</f>
        <v>0</v>
      </c>
      <c r="E60" s="577">
        <f>SUM(E61:E61)</f>
        <v>0</v>
      </c>
      <c r="F60" s="558"/>
      <c r="G60" s="558"/>
      <c r="H60" s="558"/>
      <c r="I60" s="578"/>
      <c r="J60" s="578"/>
    </row>
    <row r="61" spans="1:10" s="8" customFormat="1" ht="22.5" customHeight="1">
      <c r="A61" s="559"/>
      <c r="B61" s="77"/>
      <c r="C61" s="585" t="s">
        <v>0</v>
      </c>
      <c r="D61" s="77"/>
      <c r="E61" s="77"/>
      <c r="F61" s="558"/>
      <c r="G61" s="558"/>
      <c r="H61" s="558"/>
      <c r="I61" s="578"/>
      <c r="J61" s="578"/>
    </row>
    <row r="62" spans="1:10" s="8" customFormat="1" ht="22.5" customHeight="1">
      <c r="A62" s="586" t="s">
        <v>19</v>
      </c>
      <c r="B62" s="587">
        <f>SUM(B5:B61)/2</f>
        <v>6700</v>
      </c>
      <c r="C62" s="587">
        <f>SUM(C5:C61)/2</f>
        <v>1313.1999999999998</v>
      </c>
      <c r="D62" s="587">
        <f>SUM(D5:D61)/2</f>
        <v>600</v>
      </c>
      <c r="E62" s="587">
        <f>SUM(E5:E61)/2</f>
        <v>1558</v>
      </c>
      <c r="F62" s="558"/>
      <c r="G62" s="558"/>
      <c r="H62" s="558"/>
      <c r="I62" s="578"/>
      <c r="J62" s="578"/>
    </row>
    <row r="63" spans="1:10" s="8" customFormat="1" ht="22.5" customHeight="1">
      <c r="A63" s="578"/>
      <c r="B63" s="588"/>
      <c r="C63" s="588"/>
      <c r="D63" s="589"/>
      <c r="E63" s="578"/>
      <c r="F63" s="578"/>
      <c r="G63" s="578"/>
      <c r="H63" s="578"/>
      <c r="I63" s="578"/>
      <c r="J63" s="578"/>
    </row>
    <row r="64" spans="1:10" s="8" customFormat="1" ht="22.5" customHeight="1">
      <c r="A64" s="578"/>
      <c r="B64" s="588"/>
      <c r="C64" s="588"/>
      <c r="D64" s="578"/>
      <c r="E64" s="578"/>
      <c r="F64" s="578"/>
      <c r="G64" s="578"/>
      <c r="H64" s="578"/>
      <c r="I64" s="578"/>
      <c r="J64" s="578"/>
    </row>
    <row r="65" spans="1:10" s="8" customFormat="1" ht="22.5" customHeight="1">
      <c r="A65" s="578"/>
      <c r="B65" s="588"/>
      <c r="C65" s="588"/>
      <c r="D65" s="578"/>
      <c r="E65" s="578"/>
      <c r="F65" s="578"/>
      <c r="G65" s="578"/>
      <c r="H65" s="578"/>
      <c r="I65" s="578"/>
      <c r="J65" s="578"/>
    </row>
    <row r="66" spans="1:10" s="8" customFormat="1" ht="22.5" customHeight="1">
      <c r="A66" s="578"/>
      <c r="B66" s="588"/>
      <c r="C66" s="588"/>
      <c r="D66" s="578"/>
      <c r="E66" s="578"/>
      <c r="F66" s="578"/>
      <c r="G66" s="578"/>
      <c r="H66" s="578"/>
      <c r="I66" s="578"/>
      <c r="J66" s="578"/>
    </row>
    <row r="67" spans="1:10" s="8" customFormat="1" ht="22.5" customHeight="1">
      <c r="A67" s="578"/>
      <c r="B67" s="588"/>
      <c r="C67" s="588"/>
      <c r="D67" s="578"/>
      <c r="E67" s="578"/>
      <c r="F67" s="578"/>
      <c r="G67" s="578"/>
      <c r="H67" s="578"/>
      <c r="I67" s="578"/>
      <c r="J67" s="578"/>
    </row>
    <row r="68" spans="1:10" s="8" customFormat="1" ht="22.5" customHeight="1">
      <c r="A68" s="578"/>
      <c r="B68" s="588"/>
      <c r="C68" s="588"/>
      <c r="D68" s="578"/>
      <c r="E68" s="578"/>
      <c r="F68" s="578"/>
      <c r="G68" s="578"/>
      <c r="H68" s="578"/>
      <c r="I68" s="578"/>
      <c r="J68" s="578"/>
    </row>
    <row r="69" spans="1:10" s="8" customFormat="1" ht="22.5" customHeight="1">
      <c r="A69" s="578"/>
      <c r="B69" s="588"/>
      <c r="C69" s="588"/>
      <c r="D69" s="578"/>
      <c r="E69" s="578"/>
      <c r="F69" s="578"/>
      <c r="G69" s="578"/>
      <c r="H69" s="578"/>
      <c r="I69" s="578"/>
      <c r="J69" s="578"/>
    </row>
    <row r="70" spans="1:10" s="8" customFormat="1" ht="22.5" customHeight="1">
      <c r="A70" s="578"/>
      <c r="B70" s="588"/>
      <c r="C70" s="588"/>
      <c r="D70" s="578"/>
      <c r="E70" s="578"/>
      <c r="F70" s="578"/>
      <c r="G70" s="578"/>
      <c r="H70" s="578"/>
      <c r="I70" s="578"/>
      <c r="J70" s="578"/>
    </row>
    <row r="71" spans="1:10" s="8" customFormat="1" ht="22.5" customHeight="1">
      <c r="A71" s="578"/>
      <c r="B71" s="588"/>
      <c r="C71" s="588"/>
      <c r="D71" s="578"/>
      <c r="E71" s="578"/>
      <c r="F71" s="578"/>
      <c r="G71" s="578"/>
      <c r="H71" s="578"/>
      <c r="I71" s="578"/>
      <c r="J71" s="578"/>
    </row>
    <row r="72" spans="1:10" s="8" customFormat="1" ht="22.5" customHeight="1">
      <c r="A72" s="578"/>
      <c r="B72" s="588"/>
      <c r="C72" s="588"/>
      <c r="D72" s="578"/>
      <c r="E72" s="578"/>
      <c r="F72" s="578"/>
      <c r="G72" s="578"/>
      <c r="H72" s="578"/>
      <c r="I72" s="578"/>
      <c r="J72" s="578"/>
    </row>
    <row r="73" spans="1:10" s="8" customFormat="1" ht="22.5" customHeight="1">
      <c r="A73" s="578"/>
      <c r="B73" s="588"/>
      <c r="C73" s="588"/>
      <c r="D73" s="578"/>
      <c r="E73" s="578"/>
      <c r="F73" s="578"/>
      <c r="G73" s="578"/>
      <c r="H73" s="578"/>
      <c r="I73" s="578"/>
      <c r="J73" s="578"/>
    </row>
    <row r="74" spans="1:10" s="8" customFormat="1" ht="22.5" customHeight="1">
      <c r="A74" s="578"/>
      <c r="B74" s="588"/>
      <c r="C74" s="588"/>
      <c r="D74" s="578"/>
      <c r="E74" s="578"/>
      <c r="F74" s="578"/>
      <c r="G74" s="578"/>
      <c r="H74" s="578"/>
      <c r="I74" s="578"/>
      <c r="J74" s="578"/>
    </row>
    <row r="75" spans="1:10" s="8" customFormat="1" ht="22.5" customHeight="1">
      <c r="A75" s="578"/>
      <c r="B75" s="588"/>
      <c r="C75" s="588"/>
      <c r="D75" s="578"/>
      <c r="E75" s="578"/>
      <c r="F75" s="578"/>
      <c r="G75" s="578"/>
      <c r="H75" s="578"/>
      <c r="I75" s="578"/>
      <c r="J75" s="578"/>
    </row>
    <row r="76" spans="1:10" s="8" customFormat="1" ht="22.5" customHeight="1">
      <c r="A76" s="578"/>
      <c r="B76" s="588"/>
      <c r="C76" s="588"/>
      <c r="D76" s="578"/>
      <c r="E76" s="578"/>
      <c r="F76" s="578"/>
      <c r="G76" s="578"/>
      <c r="H76" s="578"/>
      <c r="I76" s="578"/>
      <c r="J76" s="578"/>
    </row>
    <row r="77" spans="1:10" s="8" customFormat="1" ht="22.5" customHeight="1">
      <c r="A77" s="578"/>
      <c r="B77" s="588"/>
      <c r="C77" s="588"/>
      <c r="D77" s="578"/>
      <c r="E77" s="578"/>
      <c r="F77" s="578"/>
      <c r="G77" s="578"/>
      <c r="H77" s="578"/>
      <c r="I77" s="578"/>
      <c r="J77" s="578"/>
    </row>
    <row r="78" spans="1:10" s="8" customFormat="1" ht="22.5" customHeight="1">
      <c r="A78" s="578"/>
      <c r="B78" s="588"/>
      <c r="C78" s="588"/>
      <c r="D78" s="578"/>
      <c r="E78" s="578"/>
      <c r="F78" s="578"/>
      <c r="G78" s="578"/>
      <c r="H78" s="578"/>
      <c r="I78" s="578"/>
      <c r="J78" s="578"/>
    </row>
    <row r="79" spans="1:10" s="8" customFormat="1" ht="22.5" customHeight="1">
      <c r="A79" s="578"/>
      <c r="B79" s="588"/>
      <c r="C79" s="588"/>
      <c r="D79" s="578"/>
      <c r="E79" s="578"/>
      <c r="F79" s="578"/>
      <c r="G79" s="578"/>
      <c r="H79" s="578"/>
      <c r="I79" s="578"/>
      <c r="J79" s="578"/>
    </row>
    <row r="80" spans="1:10" s="8" customFormat="1" ht="22.5" customHeight="1">
      <c r="A80" s="578"/>
      <c r="B80" s="588"/>
      <c r="C80" s="588"/>
      <c r="D80" s="578"/>
      <c r="E80" s="578"/>
      <c r="F80" s="578"/>
      <c r="G80" s="578"/>
      <c r="H80" s="578"/>
      <c r="I80" s="578"/>
      <c r="J80" s="578"/>
    </row>
    <row r="81" spans="1:10" s="8" customFormat="1" ht="22.5" customHeight="1">
      <c r="A81" s="578"/>
      <c r="B81" s="588"/>
      <c r="C81" s="588"/>
      <c r="D81" s="578"/>
      <c r="E81" s="578"/>
      <c r="F81" s="578"/>
      <c r="G81" s="578"/>
      <c r="H81" s="578"/>
      <c r="I81" s="578"/>
      <c r="J81" s="578"/>
    </row>
    <row r="82" spans="1:10" s="8" customFormat="1" ht="22.5" customHeight="1">
      <c r="A82" s="578"/>
      <c r="B82" s="588"/>
      <c r="C82" s="588"/>
      <c r="D82" s="578"/>
      <c r="E82" s="578"/>
      <c r="F82" s="578"/>
      <c r="G82" s="578"/>
      <c r="H82" s="578"/>
      <c r="I82" s="578"/>
      <c r="J82" s="578"/>
    </row>
    <row r="83" spans="1:10" s="8" customFormat="1" ht="22.5" customHeight="1">
      <c r="A83" s="578"/>
      <c r="B83" s="588"/>
      <c r="C83" s="588"/>
      <c r="D83" s="578"/>
      <c r="E83" s="578"/>
      <c r="F83" s="578"/>
      <c r="G83" s="578"/>
      <c r="H83" s="578"/>
      <c r="I83" s="578"/>
      <c r="J83" s="578"/>
    </row>
    <row r="84" spans="1:10" s="8" customFormat="1" ht="22.5" customHeight="1">
      <c r="A84" s="578"/>
      <c r="B84" s="588"/>
      <c r="C84" s="588"/>
      <c r="D84" s="578"/>
      <c r="E84" s="578"/>
      <c r="F84" s="578"/>
      <c r="G84" s="578"/>
      <c r="H84" s="578"/>
      <c r="I84" s="578"/>
      <c r="J84" s="578"/>
    </row>
    <row r="85" spans="1:10" s="8" customFormat="1" ht="22.5" customHeight="1">
      <c r="A85" s="578"/>
      <c r="B85" s="588"/>
      <c r="C85" s="588"/>
      <c r="D85" s="578"/>
      <c r="E85" s="578"/>
      <c r="F85" s="578"/>
      <c r="G85" s="578"/>
      <c r="H85" s="578"/>
      <c r="I85" s="578"/>
      <c r="J85" s="578"/>
    </row>
    <row r="86" spans="1:10" s="8" customFormat="1" ht="22.5" customHeight="1">
      <c r="A86" s="578"/>
      <c r="B86" s="588"/>
      <c r="C86" s="588"/>
      <c r="D86" s="578"/>
      <c r="E86" s="578"/>
      <c r="F86" s="578"/>
      <c r="G86" s="578"/>
      <c r="H86" s="578"/>
      <c r="I86" s="578"/>
      <c r="J86" s="578"/>
    </row>
    <row r="87" spans="1:10" s="8" customFormat="1" ht="22.5" customHeight="1">
      <c r="A87" s="578"/>
      <c r="B87" s="588"/>
      <c r="C87" s="588"/>
      <c r="D87" s="578"/>
      <c r="E87" s="578"/>
      <c r="F87" s="578"/>
      <c r="G87" s="578"/>
      <c r="H87" s="578"/>
      <c r="I87" s="578"/>
      <c r="J87" s="578"/>
    </row>
    <row r="88" spans="1:10" s="8" customFormat="1" ht="22.5" customHeight="1">
      <c r="A88" s="578"/>
      <c r="B88" s="588"/>
      <c r="C88" s="588"/>
      <c r="D88" s="578"/>
      <c r="E88" s="578"/>
      <c r="F88" s="578"/>
      <c r="G88" s="578"/>
      <c r="H88" s="578"/>
      <c r="I88" s="578"/>
      <c r="J88" s="578"/>
    </row>
    <row r="89" spans="1:10" s="8" customFormat="1" ht="22.5" customHeight="1">
      <c r="A89" s="578"/>
      <c r="B89" s="588"/>
      <c r="C89" s="588"/>
      <c r="D89" s="578"/>
      <c r="E89" s="578"/>
      <c r="F89" s="578"/>
      <c r="G89" s="578"/>
      <c r="H89" s="578"/>
      <c r="I89" s="578"/>
      <c r="J89" s="578"/>
    </row>
    <row r="90" spans="1:10" s="8" customFormat="1" ht="22.5" customHeight="1">
      <c r="A90" s="578"/>
      <c r="B90" s="588"/>
      <c r="C90" s="588"/>
      <c r="D90" s="578"/>
      <c r="E90" s="578"/>
      <c r="F90" s="578"/>
      <c r="G90" s="578"/>
      <c r="H90" s="578"/>
      <c r="I90" s="578"/>
      <c r="J90" s="578"/>
    </row>
    <row r="91" spans="1:10" s="8" customFormat="1" ht="22.5" customHeight="1">
      <c r="A91" s="578"/>
      <c r="B91" s="588"/>
      <c r="C91" s="588"/>
      <c r="D91" s="578"/>
      <c r="E91" s="578"/>
      <c r="F91" s="578"/>
      <c r="G91" s="578"/>
      <c r="H91" s="578"/>
      <c r="I91" s="578"/>
      <c r="J91" s="578"/>
    </row>
    <row r="92" spans="1:10" s="8" customFormat="1" ht="22.5" customHeight="1">
      <c r="A92" s="578"/>
      <c r="B92" s="588"/>
      <c r="C92" s="588"/>
      <c r="D92" s="578"/>
      <c r="E92" s="578"/>
      <c r="F92" s="578"/>
      <c r="G92" s="578"/>
      <c r="H92" s="578"/>
      <c r="I92" s="578"/>
      <c r="J92" s="578"/>
    </row>
    <row r="93" spans="1:10" s="8" customFormat="1" ht="22.5" customHeight="1">
      <c r="A93" s="578"/>
      <c r="B93" s="588"/>
      <c r="C93" s="588"/>
      <c r="D93" s="578"/>
      <c r="E93" s="578"/>
      <c r="F93" s="578"/>
      <c r="G93" s="578"/>
      <c r="H93" s="578"/>
      <c r="I93" s="578"/>
      <c r="J93" s="578"/>
    </row>
    <row r="94" spans="1:10" s="8" customFormat="1" ht="22.5" customHeight="1">
      <c r="A94" s="578"/>
      <c r="B94" s="588"/>
      <c r="C94" s="588"/>
      <c r="D94" s="578"/>
      <c r="E94" s="578"/>
      <c r="F94" s="578"/>
      <c r="G94" s="578"/>
      <c r="H94" s="578"/>
      <c r="I94" s="578"/>
      <c r="J94" s="578"/>
    </row>
    <row r="95" spans="1:10" s="8" customFormat="1" ht="22.5" customHeight="1">
      <c r="A95" s="578"/>
      <c r="B95" s="588"/>
      <c r="C95" s="588"/>
      <c r="D95" s="578"/>
      <c r="E95" s="578"/>
      <c r="F95" s="578"/>
      <c r="G95" s="578"/>
      <c r="H95" s="578"/>
      <c r="I95" s="578"/>
      <c r="J95" s="578"/>
    </row>
    <row r="96" spans="1:10" s="8" customFormat="1" ht="22.5" customHeight="1">
      <c r="A96" s="578"/>
      <c r="B96" s="588"/>
      <c r="C96" s="588"/>
      <c r="D96" s="578"/>
      <c r="E96" s="578"/>
      <c r="F96" s="578"/>
      <c r="G96" s="578"/>
      <c r="H96" s="578"/>
      <c r="I96" s="578"/>
      <c r="J96" s="578"/>
    </row>
    <row r="97" spans="1:10" s="8" customFormat="1" ht="22.5" customHeight="1">
      <c r="A97" s="578"/>
      <c r="B97" s="588"/>
      <c r="C97" s="588"/>
      <c r="D97" s="578"/>
      <c r="E97" s="578"/>
      <c r="F97" s="578"/>
      <c r="G97" s="578"/>
      <c r="H97" s="578"/>
      <c r="I97" s="578"/>
      <c r="J97" s="578"/>
    </row>
    <row r="98" spans="1:10" s="8" customFormat="1" ht="22.5" customHeight="1">
      <c r="A98" s="578"/>
      <c r="B98" s="588"/>
      <c r="C98" s="588"/>
      <c r="D98" s="578"/>
      <c r="E98" s="578"/>
      <c r="F98" s="578"/>
      <c r="G98" s="578"/>
      <c r="H98" s="578"/>
      <c r="I98" s="578"/>
      <c r="J98" s="578"/>
    </row>
    <row r="99" spans="1:10" s="8" customFormat="1" ht="22.5" customHeight="1">
      <c r="A99" s="578"/>
      <c r="B99" s="588"/>
      <c r="C99" s="588"/>
      <c r="D99" s="578"/>
      <c r="E99" s="578"/>
      <c r="F99" s="578"/>
      <c r="G99" s="578"/>
      <c r="H99" s="578"/>
      <c r="I99" s="578"/>
      <c r="J99" s="578"/>
    </row>
    <row r="100" spans="1:10" s="8" customFormat="1" ht="22.5" customHeight="1">
      <c r="A100" s="578"/>
      <c r="B100" s="588"/>
      <c r="C100" s="588"/>
      <c r="D100" s="578"/>
      <c r="E100" s="578"/>
      <c r="F100" s="578"/>
      <c r="G100" s="578"/>
      <c r="H100" s="578"/>
      <c r="I100" s="578"/>
      <c r="J100" s="578"/>
    </row>
    <row r="101" spans="1:10" s="8" customFormat="1" ht="22.5" customHeight="1">
      <c r="A101" s="578"/>
      <c r="B101" s="588"/>
      <c r="C101" s="588"/>
      <c r="D101" s="578"/>
      <c r="E101" s="578"/>
      <c r="F101" s="578"/>
      <c r="G101" s="578"/>
      <c r="H101" s="578"/>
      <c r="I101" s="578"/>
      <c r="J101" s="578"/>
    </row>
    <row r="102" spans="1:10" s="8" customFormat="1" ht="22.5" customHeight="1">
      <c r="A102" s="578"/>
      <c r="B102" s="588"/>
      <c r="C102" s="588"/>
      <c r="D102" s="578"/>
      <c r="E102" s="578"/>
      <c r="F102" s="578"/>
      <c r="G102" s="578"/>
      <c r="H102" s="578"/>
      <c r="I102" s="578"/>
      <c r="J102" s="578"/>
    </row>
    <row r="103" spans="1:10" s="8" customFormat="1" ht="22.5" customHeight="1">
      <c r="A103" s="578"/>
      <c r="B103" s="588"/>
      <c r="C103" s="588"/>
      <c r="D103" s="578"/>
      <c r="E103" s="578"/>
      <c r="F103" s="578"/>
      <c r="G103" s="578"/>
      <c r="H103" s="578"/>
      <c r="I103" s="578"/>
      <c r="J103" s="578"/>
    </row>
    <row r="104" spans="1:10" s="8" customFormat="1" ht="22.5" customHeight="1">
      <c r="A104" s="578"/>
      <c r="B104" s="588"/>
      <c r="C104" s="588"/>
      <c r="D104" s="578"/>
      <c r="E104" s="578"/>
      <c r="F104" s="578"/>
      <c r="G104" s="578"/>
      <c r="H104" s="578"/>
      <c r="I104" s="578"/>
      <c r="J104" s="578"/>
    </row>
    <row r="105" spans="1:10" s="8" customFormat="1" ht="22.5" customHeight="1">
      <c r="A105" s="578"/>
      <c r="B105" s="588"/>
      <c r="C105" s="588"/>
      <c r="D105" s="578"/>
      <c r="E105" s="578"/>
      <c r="F105" s="578"/>
      <c r="G105" s="578"/>
      <c r="H105" s="578"/>
      <c r="I105" s="578"/>
      <c r="J105" s="578"/>
    </row>
    <row r="106" spans="1:10" s="8" customFormat="1" ht="22.5" customHeight="1">
      <c r="A106" s="578"/>
      <c r="B106" s="588"/>
      <c r="C106" s="588"/>
      <c r="D106" s="578"/>
      <c r="E106" s="578"/>
      <c r="F106" s="578"/>
      <c r="G106" s="578"/>
      <c r="H106" s="578"/>
      <c r="I106" s="578"/>
      <c r="J106" s="578"/>
    </row>
    <row r="107" spans="1:10" s="8" customFormat="1" ht="22.5" customHeight="1">
      <c r="A107" s="578"/>
      <c r="B107" s="588"/>
      <c r="C107" s="588"/>
      <c r="D107" s="578"/>
      <c r="E107" s="578"/>
      <c r="F107" s="578"/>
      <c r="G107" s="578"/>
      <c r="H107" s="578"/>
      <c r="I107" s="578"/>
      <c r="J107" s="578"/>
    </row>
    <row r="108" spans="1:10" s="8" customFormat="1" ht="22.5" customHeight="1">
      <c r="A108" s="578"/>
      <c r="B108" s="588"/>
      <c r="C108" s="588"/>
      <c r="D108" s="578"/>
      <c r="E108" s="578"/>
      <c r="F108" s="578"/>
      <c r="G108" s="578"/>
      <c r="H108" s="578"/>
      <c r="I108" s="578"/>
      <c r="J108" s="578"/>
    </row>
    <row r="109" spans="1:10" s="8" customFormat="1" ht="22.5" customHeight="1">
      <c r="A109" s="578"/>
      <c r="B109" s="588"/>
      <c r="C109" s="588"/>
      <c r="D109" s="578"/>
      <c r="E109" s="578"/>
      <c r="F109" s="578"/>
      <c r="G109" s="578"/>
      <c r="H109" s="578"/>
      <c r="I109" s="578"/>
      <c r="J109" s="578"/>
    </row>
    <row r="110" spans="1:10" s="8" customFormat="1" ht="22.5" customHeight="1">
      <c r="A110" s="578"/>
      <c r="B110" s="588"/>
      <c r="C110" s="588"/>
      <c r="D110" s="578"/>
      <c r="E110" s="578"/>
      <c r="F110" s="578"/>
      <c r="G110" s="578"/>
      <c r="H110" s="578"/>
      <c r="I110" s="578"/>
      <c r="J110" s="578"/>
    </row>
    <row r="111" spans="1:10" s="8" customFormat="1" ht="22.5" customHeight="1">
      <c r="A111" s="578"/>
      <c r="B111" s="588"/>
      <c r="C111" s="588"/>
      <c r="D111" s="578"/>
      <c r="E111" s="578"/>
      <c r="F111" s="578"/>
      <c r="G111" s="578"/>
      <c r="H111" s="578"/>
      <c r="I111" s="578"/>
      <c r="J111" s="578"/>
    </row>
    <row r="112" spans="1:10" s="8" customFormat="1" ht="22.5" customHeight="1">
      <c r="A112" s="578"/>
      <c r="B112" s="588"/>
      <c r="C112" s="588"/>
      <c r="D112" s="578"/>
      <c r="E112" s="578"/>
      <c r="F112" s="578"/>
      <c r="G112" s="578"/>
      <c r="H112" s="578"/>
      <c r="I112" s="578"/>
      <c r="J112" s="578"/>
    </row>
    <row r="113" spans="1:10" s="8" customFormat="1" ht="22.5" customHeight="1">
      <c r="A113" s="578"/>
      <c r="B113" s="588"/>
      <c r="C113" s="588"/>
      <c r="D113" s="578"/>
      <c r="E113" s="578"/>
      <c r="F113" s="578"/>
      <c r="G113" s="578"/>
      <c r="H113" s="578"/>
      <c r="I113" s="578"/>
      <c r="J113" s="578"/>
    </row>
    <row r="114" spans="1:10" s="8" customFormat="1" ht="22.5" customHeight="1">
      <c r="A114" s="578"/>
      <c r="B114" s="588"/>
      <c r="C114" s="588"/>
      <c r="D114" s="578"/>
      <c r="E114" s="578"/>
      <c r="F114" s="578"/>
      <c r="G114" s="578"/>
      <c r="H114" s="578"/>
      <c r="I114" s="578"/>
      <c r="J114" s="578"/>
    </row>
    <row r="115" spans="1:10" s="8" customFormat="1" ht="22.5" customHeight="1">
      <c r="A115" s="578"/>
      <c r="B115" s="588"/>
      <c r="C115" s="588"/>
      <c r="D115" s="578"/>
      <c r="E115" s="578"/>
      <c r="F115" s="578"/>
      <c r="G115" s="578"/>
      <c r="H115" s="578"/>
      <c r="I115" s="578"/>
      <c r="J115" s="578"/>
    </row>
    <row r="116" spans="1:10" s="8" customFormat="1" ht="22.5" customHeight="1">
      <c r="A116" s="578"/>
      <c r="B116" s="588"/>
      <c r="C116" s="588"/>
      <c r="D116" s="578"/>
      <c r="E116" s="578"/>
      <c r="F116" s="578"/>
      <c r="G116" s="578"/>
      <c r="H116" s="578"/>
      <c r="I116" s="578"/>
      <c r="J116" s="578"/>
    </row>
    <row r="117" spans="1:10" s="8" customFormat="1" ht="22.5" customHeight="1">
      <c r="A117" s="578"/>
      <c r="B117" s="588"/>
      <c r="C117" s="588"/>
      <c r="D117" s="578"/>
      <c r="E117" s="578"/>
      <c r="F117" s="578"/>
      <c r="G117" s="578"/>
      <c r="H117" s="578"/>
      <c r="I117" s="578"/>
      <c r="J117" s="578"/>
    </row>
    <row r="118" spans="1:10" s="8" customFormat="1" ht="22.5" customHeight="1">
      <c r="A118" s="578"/>
      <c r="B118" s="588"/>
      <c r="C118" s="588"/>
      <c r="D118" s="578"/>
      <c r="E118" s="578"/>
      <c r="F118" s="578"/>
      <c r="G118" s="578"/>
      <c r="H118" s="578"/>
      <c r="I118" s="578"/>
      <c r="J118" s="578"/>
    </row>
    <row r="119" spans="1:10" s="8" customFormat="1" ht="22.5" customHeight="1">
      <c r="A119" s="578"/>
      <c r="B119" s="588"/>
      <c r="C119" s="588"/>
      <c r="D119" s="578"/>
      <c r="E119" s="578"/>
      <c r="F119" s="578"/>
      <c r="G119" s="578"/>
      <c r="H119" s="578"/>
      <c r="I119" s="578"/>
      <c r="J119" s="578"/>
    </row>
    <row r="120" spans="1:10" s="8" customFormat="1" ht="22.5" customHeight="1">
      <c r="A120" s="578"/>
      <c r="B120" s="588"/>
      <c r="C120" s="588"/>
      <c r="D120" s="578"/>
      <c r="E120" s="578"/>
      <c r="F120" s="578"/>
      <c r="G120" s="578"/>
      <c r="H120" s="578"/>
      <c r="I120" s="578"/>
      <c r="J120" s="578"/>
    </row>
    <row r="121" spans="1:10" s="8" customFormat="1" ht="22.5" customHeight="1">
      <c r="A121" s="578"/>
      <c r="B121" s="588"/>
      <c r="C121" s="588"/>
      <c r="D121" s="578"/>
      <c r="E121" s="578"/>
      <c r="F121" s="578"/>
      <c r="G121" s="578"/>
      <c r="H121" s="578"/>
      <c r="I121" s="578"/>
      <c r="J121" s="578"/>
    </row>
    <row r="122" spans="1:10" s="8" customFormat="1" ht="22.5" customHeight="1">
      <c r="A122" s="578"/>
      <c r="B122" s="588"/>
      <c r="C122" s="588"/>
      <c r="D122" s="578"/>
      <c r="E122" s="578"/>
      <c r="F122" s="578"/>
      <c r="G122" s="578"/>
      <c r="H122" s="578"/>
      <c r="I122" s="578"/>
      <c r="J122" s="578"/>
    </row>
    <row r="123" spans="1:10" s="8" customFormat="1" ht="22.5" customHeight="1">
      <c r="A123" s="578"/>
      <c r="B123" s="588"/>
      <c r="C123" s="588"/>
      <c r="D123" s="578"/>
      <c r="E123" s="578"/>
      <c r="F123" s="578"/>
      <c r="G123" s="578"/>
      <c r="H123" s="578"/>
      <c r="I123" s="578"/>
      <c r="J123" s="578"/>
    </row>
    <row r="124" spans="1:10" s="8" customFormat="1" ht="22.5" customHeight="1">
      <c r="A124" s="578"/>
      <c r="B124" s="588"/>
      <c r="C124" s="588"/>
      <c r="D124" s="578"/>
      <c r="E124" s="578"/>
      <c r="F124" s="578"/>
      <c r="G124" s="578"/>
      <c r="H124" s="578"/>
      <c r="I124" s="578"/>
      <c r="J124" s="578"/>
    </row>
    <row r="125" spans="1:10" s="8" customFormat="1" ht="22.5" customHeight="1">
      <c r="A125" s="578"/>
      <c r="B125" s="588"/>
      <c r="C125" s="588"/>
      <c r="D125" s="578"/>
      <c r="E125" s="578"/>
      <c r="F125" s="578"/>
      <c r="G125" s="578"/>
      <c r="H125" s="578"/>
      <c r="I125" s="578"/>
      <c r="J125" s="578"/>
    </row>
    <row r="126" spans="1:10" s="8" customFormat="1" ht="22.5" customHeight="1">
      <c r="A126" s="578"/>
      <c r="B126" s="588"/>
      <c r="C126" s="588"/>
      <c r="D126" s="578"/>
      <c r="E126" s="578"/>
      <c r="F126" s="578"/>
      <c r="G126" s="578"/>
      <c r="H126" s="578"/>
      <c r="I126" s="578"/>
      <c r="J126" s="578"/>
    </row>
    <row r="127" spans="1:10" s="8" customFormat="1" ht="22.5" customHeight="1">
      <c r="A127" s="578"/>
      <c r="B127" s="588"/>
      <c r="C127" s="588"/>
      <c r="D127" s="578"/>
      <c r="E127" s="578"/>
      <c r="F127" s="578"/>
      <c r="G127" s="578"/>
      <c r="H127" s="578"/>
      <c r="I127" s="578"/>
      <c r="J127" s="578"/>
    </row>
    <row r="128" spans="1:10" s="8" customFormat="1" ht="22.5" customHeight="1">
      <c r="A128" s="578"/>
      <c r="B128" s="588"/>
      <c r="C128" s="588"/>
      <c r="D128" s="578"/>
      <c r="E128" s="578"/>
      <c r="F128" s="578"/>
      <c r="G128" s="578"/>
      <c r="H128" s="578"/>
      <c r="I128" s="578"/>
      <c r="J128" s="578"/>
    </row>
    <row r="129" spans="1:10" s="8" customFormat="1" ht="22.5" customHeight="1">
      <c r="A129" s="578"/>
      <c r="B129" s="588"/>
      <c r="C129" s="588"/>
      <c r="D129" s="578"/>
      <c r="E129" s="578"/>
      <c r="F129" s="578"/>
      <c r="G129" s="578"/>
      <c r="H129" s="578"/>
      <c r="I129" s="578"/>
      <c r="J129" s="578"/>
    </row>
    <row r="130" spans="1:10" s="8" customFormat="1" ht="22.5" customHeight="1">
      <c r="A130" s="578"/>
      <c r="B130" s="588"/>
      <c r="C130" s="588"/>
      <c r="D130" s="578"/>
      <c r="E130" s="578"/>
      <c r="F130" s="578"/>
      <c r="G130" s="578"/>
      <c r="H130" s="578"/>
      <c r="I130" s="578"/>
      <c r="J130" s="578"/>
    </row>
    <row r="131" spans="1:10" s="8" customFormat="1" ht="22.5" customHeight="1">
      <c r="A131" s="578"/>
      <c r="B131" s="588"/>
      <c r="C131" s="588"/>
      <c r="D131" s="578"/>
      <c r="E131" s="578"/>
      <c r="F131" s="578"/>
      <c r="G131" s="578"/>
      <c r="H131" s="578"/>
      <c r="I131" s="578"/>
      <c r="J131" s="578"/>
    </row>
    <row r="132" spans="1:10" s="8" customFormat="1" ht="22.5" customHeight="1">
      <c r="A132" s="578"/>
      <c r="B132" s="588"/>
      <c r="C132" s="588"/>
      <c r="D132" s="578"/>
      <c r="E132" s="578"/>
      <c r="F132" s="578"/>
      <c r="G132" s="578"/>
      <c r="H132" s="578"/>
      <c r="I132" s="578"/>
      <c r="J132" s="578"/>
    </row>
    <row r="133" spans="1:10" s="8" customFormat="1" ht="22.5" customHeight="1">
      <c r="A133" s="578"/>
      <c r="B133" s="588"/>
      <c r="C133" s="588"/>
      <c r="D133" s="578"/>
      <c r="E133" s="578"/>
      <c r="F133" s="578"/>
      <c r="G133" s="578"/>
      <c r="H133" s="578"/>
      <c r="I133" s="578"/>
      <c r="J133" s="578"/>
    </row>
    <row r="134" spans="1:10" s="8" customFormat="1" ht="22.5" customHeight="1">
      <c r="A134" s="578"/>
      <c r="B134" s="588"/>
      <c r="C134" s="588"/>
      <c r="D134" s="578"/>
      <c r="E134" s="578"/>
      <c r="F134" s="578"/>
      <c r="G134" s="578"/>
      <c r="H134" s="578"/>
      <c r="I134" s="578"/>
      <c r="J134" s="578"/>
    </row>
    <row r="135" spans="1:10" s="8" customFormat="1" ht="22.5" customHeight="1">
      <c r="A135" s="578"/>
      <c r="B135" s="588"/>
      <c r="C135" s="588"/>
      <c r="D135" s="578"/>
      <c r="E135" s="578"/>
      <c r="F135" s="578"/>
      <c r="G135" s="578"/>
      <c r="H135" s="578"/>
      <c r="I135" s="578"/>
      <c r="J135" s="578"/>
    </row>
    <row r="136" spans="1:10" s="8" customFormat="1" ht="22.5" customHeight="1">
      <c r="A136" s="578"/>
      <c r="B136" s="588"/>
      <c r="C136" s="588"/>
      <c r="D136" s="578"/>
      <c r="E136" s="578"/>
      <c r="F136" s="578"/>
      <c r="G136" s="578"/>
      <c r="H136" s="578"/>
      <c r="I136" s="578"/>
      <c r="J136" s="578"/>
    </row>
    <row r="137" spans="1:10" s="8" customFormat="1" ht="22.5" customHeight="1">
      <c r="A137" s="578"/>
      <c r="B137" s="588"/>
      <c r="C137" s="588"/>
      <c r="D137" s="578"/>
      <c r="E137" s="578"/>
      <c r="F137" s="578"/>
      <c r="G137" s="578"/>
      <c r="H137" s="578"/>
      <c r="I137" s="578"/>
      <c r="J137" s="578"/>
    </row>
    <row r="138" spans="1:10" s="8" customFormat="1" ht="22.5" customHeight="1">
      <c r="A138" s="578"/>
      <c r="B138" s="588"/>
      <c r="C138" s="588"/>
      <c r="D138" s="578"/>
      <c r="E138" s="578"/>
      <c r="F138" s="578"/>
      <c r="G138" s="578"/>
      <c r="H138" s="578"/>
      <c r="I138" s="578"/>
      <c r="J138" s="578"/>
    </row>
    <row r="139" spans="1:10" s="8" customFormat="1" ht="22.5" customHeight="1">
      <c r="A139" s="578"/>
      <c r="B139" s="588"/>
      <c r="C139" s="588"/>
      <c r="D139" s="578"/>
      <c r="E139" s="578"/>
      <c r="F139" s="578"/>
      <c r="G139" s="578"/>
      <c r="H139" s="578"/>
      <c r="I139" s="578"/>
      <c r="J139" s="578"/>
    </row>
    <row r="140" spans="1:10" s="8" customFormat="1" ht="22.5" customHeight="1">
      <c r="A140" s="578"/>
      <c r="B140" s="588"/>
      <c r="C140" s="588"/>
      <c r="D140" s="578"/>
      <c r="E140" s="578"/>
      <c r="F140" s="578"/>
      <c r="G140" s="578"/>
      <c r="H140" s="578"/>
      <c r="I140" s="578"/>
      <c r="J140" s="578"/>
    </row>
    <row r="141" spans="1:10" s="8" customFormat="1" ht="22.5" customHeight="1">
      <c r="A141" s="578"/>
      <c r="B141" s="588"/>
      <c r="C141" s="588"/>
      <c r="D141" s="578"/>
      <c r="E141" s="578"/>
      <c r="F141" s="578"/>
      <c r="G141" s="578"/>
      <c r="H141" s="578"/>
      <c r="I141" s="578"/>
      <c r="J141" s="578"/>
    </row>
    <row r="142" spans="1:10" s="8" customFormat="1" ht="22.5" customHeight="1">
      <c r="A142" s="578"/>
      <c r="B142" s="588"/>
      <c r="C142" s="588"/>
      <c r="D142" s="578"/>
      <c r="E142" s="578"/>
      <c r="F142" s="578"/>
      <c r="G142" s="578"/>
      <c r="H142" s="578"/>
      <c r="I142" s="578"/>
      <c r="J142" s="578"/>
    </row>
    <row r="143" spans="1:10" s="8" customFormat="1" ht="22.5" customHeight="1">
      <c r="A143" s="578"/>
      <c r="B143" s="588"/>
      <c r="C143" s="588"/>
      <c r="D143" s="578"/>
      <c r="E143" s="578"/>
      <c r="F143" s="578"/>
      <c r="G143" s="578"/>
      <c r="H143" s="578"/>
      <c r="I143" s="578"/>
      <c r="J143" s="578"/>
    </row>
    <row r="144" spans="1:10" s="8" customFormat="1" ht="22.5" customHeight="1">
      <c r="A144" s="578"/>
      <c r="B144" s="588"/>
      <c r="C144" s="588"/>
      <c r="D144" s="578"/>
      <c r="E144" s="578"/>
      <c r="F144" s="578"/>
      <c r="G144" s="578"/>
      <c r="H144" s="578"/>
      <c r="I144" s="578"/>
      <c r="J144" s="578"/>
    </row>
    <row r="145" spans="1:10" s="8" customFormat="1" ht="22.5" customHeight="1">
      <c r="A145" s="578"/>
      <c r="B145" s="588"/>
      <c r="C145" s="588"/>
      <c r="D145" s="578"/>
      <c r="E145" s="578"/>
      <c r="F145" s="578"/>
      <c r="G145" s="578"/>
      <c r="H145" s="578"/>
      <c r="I145" s="578"/>
      <c r="J145" s="578"/>
    </row>
    <row r="146" spans="1:10" s="8" customFormat="1" ht="22.5" customHeight="1">
      <c r="A146" s="578"/>
      <c r="B146" s="588"/>
      <c r="C146" s="588"/>
      <c r="D146" s="578"/>
      <c r="E146" s="578"/>
      <c r="F146" s="578"/>
      <c r="G146" s="578"/>
      <c r="H146" s="578"/>
      <c r="I146" s="578"/>
      <c r="J146" s="578"/>
    </row>
    <row r="147" spans="1:10" s="8" customFormat="1" ht="22.5" customHeight="1">
      <c r="A147" s="578"/>
      <c r="B147" s="588"/>
      <c r="C147" s="588"/>
      <c r="D147" s="578"/>
      <c r="E147" s="578"/>
      <c r="F147" s="578"/>
      <c r="G147" s="578"/>
      <c r="H147" s="578"/>
      <c r="I147" s="578"/>
      <c r="J147" s="578"/>
    </row>
    <row r="148" spans="1:10" s="8" customFormat="1" ht="22.5" customHeight="1">
      <c r="A148" s="578"/>
      <c r="B148" s="588"/>
      <c r="C148" s="588"/>
      <c r="D148" s="578"/>
      <c r="E148" s="578"/>
      <c r="F148" s="578"/>
      <c r="G148" s="578"/>
      <c r="H148" s="578"/>
      <c r="I148" s="578"/>
      <c r="J148" s="578"/>
    </row>
    <row r="149" spans="1:10" s="8" customFormat="1" ht="22.5" customHeight="1">
      <c r="A149" s="578"/>
      <c r="B149" s="588"/>
      <c r="C149" s="588"/>
      <c r="D149" s="578"/>
      <c r="E149" s="578"/>
      <c r="F149" s="578"/>
      <c r="G149" s="578"/>
      <c r="H149" s="578"/>
      <c r="I149" s="578"/>
      <c r="J149" s="578"/>
    </row>
    <row r="150" spans="1:10" s="8" customFormat="1" ht="22.5" customHeight="1">
      <c r="B150" s="38"/>
      <c r="C150" s="38"/>
    </row>
    <row r="151" spans="1:10" s="8" customFormat="1" ht="22.5" customHeight="1">
      <c r="B151" s="38"/>
      <c r="C151" s="38"/>
    </row>
    <row r="152" spans="1:10" s="8" customFormat="1" ht="22.5" customHeight="1">
      <c r="B152" s="38"/>
      <c r="C152" s="38"/>
    </row>
    <row r="153" spans="1:10" s="8" customFormat="1" ht="22.5" customHeight="1">
      <c r="B153" s="38"/>
      <c r="C153" s="38"/>
    </row>
    <row r="154" spans="1:10" s="8" customFormat="1" ht="22.5" customHeight="1">
      <c r="B154" s="38"/>
      <c r="C154" s="38"/>
    </row>
    <row r="155" spans="1:10" s="8" customFormat="1" ht="22.5" customHeight="1">
      <c r="B155" s="38"/>
      <c r="C155" s="38"/>
    </row>
    <row r="156" spans="1:10" s="8" customFormat="1" ht="22.5" customHeight="1">
      <c r="B156" s="38"/>
      <c r="C156" s="38"/>
    </row>
    <row r="157" spans="1:10" s="8" customFormat="1" ht="22.5" customHeight="1">
      <c r="B157" s="38"/>
      <c r="C157" s="38"/>
    </row>
    <row r="158" spans="1:10" s="8" customFormat="1" ht="22.5" customHeight="1">
      <c r="B158" s="38"/>
      <c r="C158" s="38"/>
    </row>
    <row r="159" spans="1:10" s="8" customFormat="1" ht="22.5" customHeight="1">
      <c r="B159" s="38"/>
      <c r="C159" s="38"/>
    </row>
    <row r="160" spans="1:10" s="8" customFormat="1" ht="22.5" customHeight="1">
      <c r="B160" s="38"/>
      <c r="C160" s="38"/>
    </row>
    <row r="161" spans="2:3" s="8" customFormat="1" ht="22.5" customHeight="1">
      <c r="B161" s="38"/>
      <c r="C161" s="38"/>
    </row>
    <row r="162" spans="2:3" s="8" customFormat="1" ht="22.5" customHeight="1">
      <c r="B162" s="38"/>
      <c r="C162" s="38"/>
    </row>
    <row r="163" spans="2:3" s="8" customFormat="1" ht="22.5" customHeight="1">
      <c r="B163" s="38"/>
      <c r="C163" s="38"/>
    </row>
    <row r="164" spans="2:3" s="8" customFormat="1" ht="22.5" customHeight="1">
      <c r="B164" s="38"/>
      <c r="C164" s="38"/>
    </row>
    <row r="165" spans="2:3" s="8" customFormat="1" ht="22.5" customHeight="1">
      <c r="B165" s="38"/>
      <c r="C165" s="38"/>
    </row>
    <row r="166" spans="2:3" s="8" customFormat="1" ht="22.5" customHeight="1">
      <c r="B166" s="38"/>
      <c r="C166" s="38"/>
    </row>
    <row r="167" spans="2:3" s="8" customFormat="1" ht="22.5" customHeight="1">
      <c r="B167" s="38"/>
      <c r="C167" s="38"/>
    </row>
    <row r="168" spans="2:3" s="8" customFormat="1" ht="22.5" customHeight="1">
      <c r="B168" s="38"/>
      <c r="C168" s="38"/>
    </row>
    <row r="169" spans="2:3" s="8" customFormat="1" ht="22.5" customHeight="1">
      <c r="B169" s="38"/>
      <c r="C169" s="38"/>
    </row>
    <row r="170" spans="2:3" s="8" customFormat="1" ht="22.5" customHeight="1">
      <c r="B170" s="38"/>
      <c r="C170" s="38"/>
    </row>
    <row r="171" spans="2:3" s="8" customFormat="1" ht="22.5" customHeight="1">
      <c r="B171" s="38"/>
      <c r="C171" s="38"/>
    </row>
    <row r="172" spans="2:3" s="8" customFormat="1" ht="22.5" customHeight="1">
      <c r="B172" s="38"/>
      <c r="C172" s="38"/>
    </row>
    <row r="173" spans="2:3" s="8" customFormat="1" ht="22.5" customHeight="1">
      <c r="B173" s="38"/>
      <c r="C173" s="38"/>
    </row>
    <row r="174" spans="2:3" s="8" customFormat="1" ht="22.5" customHeight="1">
      <c r="B174" s="38"/>
      <c r="C174" s="38"/>
    </row>
    <row r="175" spans="2:3" s="8" customFormat="1" ht="22.5" customHeight="1">
      <c r="B175" s="38"/>
      <c r="C175" s="38"/>
    </row>
    <row r="176" spans="2:3" s="8" customFormat="1" ht="22.5" customHeight="1">
      <c r="B176" s="38"/>
      <c r="C176" s="38"/>
    </row>
    <row r="177" spans="2:3" s="8" customFormat="1" ht="22.5" customHeight="1">
      <c r="B177" s="38"/>
      <c r="C177" s="38"/>
    </row>
    <row r="178" spans="2:3" s="8" customFormat="1" ht="22.5" customHeight="1">
      <c r="B178" s="38"/>
      <c r="C178" s="38"/>
    </row>
    <row r="179" spans="2:3" s="8" customFormat="1" ht="22.5" customHeight="1">
      <c r="B179" s="38"/>
      <c r="C179" s="38"/>
    </row>
    <row r="180" spans="2:3" s="8" customFormat="1" ht="22.5" customHeight="1">
      <c r="B180" s="38"/>
      <c r="C180" s="38"/>
    </row>
    <row r="181" spans="2:3" s="8" customFormat="1" ht="22.5" customHeight="1">
      <c r="B181" s="38"/>
      <c r="C181" s="38"/>
    </row>
    <row r="182" spans="2:3" s="8" customFormat="1" ht="22.5" customHeight="1">
      <c r="B182" s="38"/>
      <c r="C182" s="38"/>
    </row>
    <row r="183" spans="2:3" s="8" customFormat="1" ht="22.5" customHeight="1">
      <c r="B183" s="38"/>
      <c r="C183" s="38"/>
    </row>
    <row r="184" spans="2:3" s="8" customFormat="1" ht="22.5" customHeight="1">
      <c r="B184" s="38"/>
      <c r="C184" s="38"/>
    </row>
    <row r="185" spans="2:3" s="8" customFormat="1" ht="22.5" customHeight="1">
      <c r="B185" s="38"/>
      <c r="C185" s="38"/>
    </row>
    <row r="186" spans="2:3" s="8" customFormat="1" ht="22.5" customHeight="1">
      <c r="B186" s="38"/>
      <c r="C186" s="38"/>
    </row>
    <row r="187" spans="2:3" s="8" customFormat="1" ht="22.5" customHeight="1">
      <c r="B187" s="38"/>
      <c r="C187" s="38"/>
    </row>
    <row r="188" spans="2:3" s="8" customFormat="1" ht="22.5" customHeight="1">
      <c r="B188" s="38"/>
      <c r="C188" s="38"/>
    </row>
    <row r="189" spans="2:3" s="8" customFormat="1" ht="22.5" customHeight="1">
      <c r="B189" s="38"/>
      <c r="C189" s="38"/>
    </row>
    <row r="190" spans="2:3" s="8" customFormat="1" ht="22.5" customHeight="1">
      <c r="B190" s="38"/>
      <c r="C190" s="38"/>
    </row>
    <row r="191" spans="2:3" s="8" customFormat="1" ht="22.5" customHeight="1">
      <c r="B191" s="38"/>
      <c r="C191" s="38"/>
    </row>
    <row r="192" spans="2:3" s="8" customFormat="1" ht="22.5" customHeight="1">
      <c r="B192" s="38"/>
      <c r="C192" s="38"/>
    </row>
    <row r="193" spans="2:3" s="8" customFormat="1" ht="22.5" customHeight="1">
      <c r="B193" s="38"/>
      <c r="C193" s="38"/>
    </row>
    <row r="194" spans="2:3" s="8" customFormat="1" ht="22.5" customHeight="1">
      <c r="B194" s="38"/>
      <c r="C194" s="38"/>
    </row>
    <row r="195" spans="2:3" s="8" customFormat="1" ht="22.5" customHeight="1">
      <c r="B195" s="38"/>
      <c r="C195" s="38"/>
    </row>
    <row r="196" spans="2:3" s="8" customFormat="1" ht="22.5" customHeight="1">
      <c r="B196" s="38"/>
      <c r="C196" s="38"/>
    </row>
    <row r="197" spans="2:3" s="8" customFormat="1" ht="22.5" customHeight="1">
      <c r="B197" s="38"/>
      <c r="C197" s="38"/>
    </row>
    <row r="198" spans="2:3" s="8" customFormat="1" ht="22.5" customHeight="1">
      <c r="B198" s="38"/>
      <c r="C198" s="38"/>
    </row>
    <row r="199" spans="2:3" s="8" customFormat="1" ht="22.5" customHeight="1">
      <c r="B199" s="38"/>
      <c r="C199" s="38"/>
    </row>
    <row r="200" spans="2:3" s="8" customFormat="1" ht="22.5" customHeight="1">
      <c r="B200" s="38"/>
      <c r="C200" s="38"/>
    </row>
    <row r="201" spans="2:3" s="8" customFormat="1" ht="22.5" customHeight="1">
      <c r="B201" s="38"/>
      <c r="C201" s="38"/>
    </row>
    <row r="202" spans="2:3" s="8" customFormat="1" ht="22.5" customHeight="1">
      <c r="B202" s="38"/>
      <c r="C202" s="38"/>
    </row>
    <row r="203" spans="2:3" s="8" customFormat="1" ht="22.5" customHeight="1">
      <c r="B203" s="38"/>
      <c r="C203" s="38"/>
    </row>
    <row r="204" spans="2:3" s="8" customFormat="1" ht="22.5" customHeight="1">
      <c r="B204" s="38"/>
      <c r="C204" s="38"/>
    </row>
    <row r="205" spans="2:3" s="8" customFormat="1" ht="22.5" customHeight="1">
      <c r="B205" s="38"/>
      <c r="C205" s="38"/>
    </row>
    <row r="206" spans="2:3" s="8" customFormat="1" ht="22.5" customHeight="1">
      <c r="B206" s="38"/>
      <c r="C206" s="38"/>
    </row>
    <row r="207" spans="2:3" s="8" customFormat="1" ht="22.5" customHeight="1">
      <c r="B207" s="38"/>
      <c r="C207" s="38"/>
    </row>
    <row r="208" spans="2:3" s="8" customFormat="1" ht="22.5" customHeight="1">
      <c r="B208" s="38"/>
      <c r="C208" s="38"/>
    </row>
    <row r="209" spans="2:3" s="8" customFormat="1" ht="22.5" customHeight="1">
      <c r="B209" s="38"/>
      <c r="C209" s="38"/>
    </row>
    <row r="210" spans="2:3" s="8" customFormat="1" ht="22.5" customHeight="1">
      <c r="B210" s="38"/>
      <c r="C210" s="38"/>
    </row>
    <row r="211" spans="2:3" s="8" customFormat="1" ht="22.5" customHeight="1">
      <c r="B211" s="38"/>
      <c r="C211" s="38"/>
    </row>
    <row r="212" spans="2:3" s="8" customFormat="1" ht="22.5" customHeight="1">
      <c r="B212" s="38"/>
      <c r="C212" s="38"/>
    </row>
    <row r="213" spans="2:3" s="8" customFormat="1" ht="22.5" customHeight="1">
      <c r="B213" s="38"/>
      <c r="C213" s="38"/>
    </row>
    <row r="214" spans="2:3" s="8" customFormat="1" ht="22.5" customHeight="1">
      <c r="B214" s="38"/>
      <c r="C214" s="38"/>
    </row>
    <row r="215" spans="2:3" s="8" customFormat="1" ht="22.5" customHeight="1">
      <c r="B215" s="38"/>
      <c r="C215" s="38"/>
    </row>
    <row r="216" spans="2:3" s="8" customFormat="1" ht="22.5" customHeight="1">
      <c r="B216" s="38"/>
      <c r="C216" s="38"/>
    </row>
    <row r="217" spans="2:3" s="8" customFormat="1" ht="22.5" customHeight="1">
      <c r="B217" s="38"/>
      <c r="C217" s="38"/>
    </row>
    <row r="218" spans="2:3" s="8" customFormat="1" ht="22.5" customHeight="1">
      <c r="B218" s="38"/>
      <c r="C218" s="38"/>
    </row>
    <row r="219" spans="2:3" s="8" customFormat="1" ht="22.5" customHeight="1">
      <c r="B219" s="38"/>
      <c r="C219" s="38"/>
    </row>
    <row r="220" spans="2:3" s="8" customFormat="1" ht="15.75">
      <c r="B220" s="38"/>
      <c r="C220" s="38"/>
    </row>
    <row r="221" spans="2:3" s="8" customFormat="1" ht="15.75">
      <c r="B221" s="38"/>
      <c r="C221" s="38"/>
    </row>
    <row r="222" spans="2:3" s="8" customFormat="1" ht="15.75">
      <c r="B222" s="38"/>
      <c r="C222" s="38"/>
    </row>
    <row r="223" spans="2:3" s="8" customFormat="1" ht="15.75">
      <c r="B223" s="38"/>
      <c r="C223" s="38"/>
    </row>
    <row r="224" spans="2:3" s="8" customFormat="1" ht="15.75">
      <c r="B224" s="38"/>
      <c r="C224" s="38"/>
    </row>
    <row r="225" spans="2:3" s="8" customFormat="1" ht="15.75">
      <c r="B225" s="38"/>
      <c r="C225" s="38"/>
    </row>
    <row r="226" spans="2:3" s="8" customFormat="1" ht="15.75">
      <c r="B226" s="38"/>
      <c r="C226" s="38"/>
    </row>
    <row r="227" spans="2:3" s="8" customFormat="1" ht="15.75">
      <c r="B227" s="38"/>
      <c r="C227" s="38"/>
    </row>
    <row r="228" spans="2:3" s="8" customFormat="1" ht="15.75">
      <c r="B228" s="38"/>
      <c r="C228" s="38"/>
    </row>
    <row r="229" spans="2:3" s="8" customFormat="1" ht="15.75">
      <c r="B229" s="38"/>
      <c r="C229" s="38"/>
    </row>
    <row r="230" spans="2:3" s="8" customFormat="1" ht="15.75">
      <c r="B230" s="38"/>
      <c r="C230" s="38"/>
    </row>
    <row r="231" spans="2:3" s="8" customFormat="1" ht="15.75">
      <c r="B231" s="38"/>
      <c r="C231" s="38"/>
    </row>
    <row r="232" spans="2:3" s="8" customFormat="1" ht="15.75">
      <c r="B232" s="38"/>
      <c r="C232" s="38"/>
    </row>
    <row r="233" spans="2:3" s="8" customFormat="1" ht="15.75">
      <c r="B233" s="38"/>
      <c r="C233" s="38"/>
    </row>
    <row r="234" spans="2:3" s="8" customFormat="1" ht="15.75">
      <c r="B234" s="38"/>
      <c r="C234" s="38"/>
    </row>
    <row r="235" spans="2:3" s="8" customFormat="1" ht="15.75">
      <c r="B235" s="38"/>
      <c r="C235" s="38"/>
    </row>
    <row r="236" spans="2:3" s="8" customFormat="1" ht="15.75">
      <c r="B236" s="38"/>
      <c r="C236" s="38"/>
    </row>
    <row r="237" spans="2:3" s="8" customFormat="1" ht="15.75">
      <c r="B237" s="38"/>
      <c r="C237" s="38"/>
    </row>
    <row r="238" spans="2:3" s="8" customFormat="1" ht="15.75">
      <c r="B238" s="38"/>
      <c r="C238" s="38"/>
    </row>
    <row r="239" spans="2:3" s="8" customFormat="1" ht="15.75">
      <c r="B239" s="38"/>
      <c r="C239" s="38"/>
    </row>
    <row r="240" spans="2:3" s="8" customFormat="1" ht="15.75">
      <c r="B240" s="38"/>
      <c r="C240" s="38"/>
    </row>
    <row r="241" spans="2:3" s="8" customFormat="1" ht="15.75">
      <c r="B241" s="38"/>
      <c r="C241" s="38"/>
    </row>
    <row r="242" spans="2:3" s="8" customFormat="1" ht="15.75">
      <c r="B242" s="38"/>
      <c r="C242" s="38"/>
    </row>
    <row r="243" spans="2:3" s="8" customFormat="1" ht="15.75">
      <c r="B243" s="38"/>
      <c r="C243" s="38"/>
    </row>
    <row r="244" spans="2:3" s="8" customFormat="1" ht="15.75">
      <c r="B244" s="38"/>
      <c r="C244" s="38"/>
    </row>
    <row r="245" spans="2:3" s="8" customFormat="1" ht="15.75">
      <c r="B245" s="38"/>
      <c r="C245" s="38"/>
    </row>
    <row r="246" spans="2:3" s="8" customFormat="1" ht="15.75">
      <c r="B246" s="38"/>
      <c r="C246" s="38"/>
    </row>
    <row r="247" spans="2:3" s="8" customFormat="1" ht="15.75">
      <c r="B247" s="38"/>
      <c r="C247" s="38"/>
    </row>
    <row r="248" spans="2:3" s="8" customFormat="1" ht="15.75">
      <c r="B248" s="38"/>
      <c r="C248" s="38"/>
    </row>
    <row r="249" spans="2:3" s="8" customFormat="1" ht="15.75">
      <c r="B249" s="38"/>
      <c r="C249" s="38"/>
    </row>
    <row r="250" spans="2:3" s="8" customFormat="1" ht="15.75">
      <c r="B250" s="38"/>
      <c r="C250" s="38"/>
    </row>
    <row r="251" spans="2:3" s="8" customFormat="1" ht="15.75">
      <c r="B251" s="38"/>
      <c r="C251" s="38"/>
    </row>
    <row r="252" spans="2:3" s="8" customFormat="1" ht="15.75">
      <c r="B252" s="38"/>
      <c r="C252" s="38"/>
    </row>
    <row r="253" spans="2:3" s="8" customFormat="1" ht="15.75">
      <c r="B253" s="38"/>
      <c r="C253" s="38"/>
    </row>
    <row r="254" spans="2:3" s="8" customFormat="1" ht="15.75">
      <c r="B254" s="38"/>
      <c r="C254" s="38"/>
    </row>
    <row r="255" spans="2:3" s="8" customFormat="1" ht="15.75">
      <c r="B255" s="38"/>
      <c r="C255" s="38"/>
    </row>
    <row r="256" spans="2:3" s="8" customFormat="1" ht="15.75">
      <c r="B256" s="38"/>
      <c r="C256" s="38"/>
    </row>
    <row r="257" spans="2:3" s="8" customFormat="1" ht="15.75">
      <c r="B257" s="38"/>
      <c r="C257" s="38"/>
    </row>
    <row r="258" spans="2:3" s="8" customFormat="1" ht="15.75">
      <c r="B258" s="38"/>
      <c r="C258" s="38"/>
    </row>
    <row r="259" spans="2:3" s="8" customFormat="1" ht="15.75">
      <c r="B259" s="38"/>
      <c r="C259" s="38"/>
    </row>
    <row r="260" spans="2:3" s="8" customFormat="1" ht="15.75">
      <c r="B260" s="38"/>
      <c r="C260" s="38"/>
    </row>
    <row r="261" spans="2:3" s="8" customFormat="1" ht="15.75">
      <c r="B261" s="38"/>
      <c r="C261" s="38"/>
    </row>
    <row r="262" spans="2:3" s="8" customFormat="1" ht="15.75">
      <c r="B262" s="38"/>
      <c r="C262" s="38"/>
    </row>
    <row r="263" spans="2:3" s="8" customFormat="1" ht="15.75">
      <c r="B263" s="38"/>
      <c r="C263" s="38"/>
    </row>
    <row r="264" spans="2:3" s="8" customFormat="1" ht="15.75">
      <c r="B264" s="38"/>
      <c r="C264" s="38"/>
    </row>
    <row r="265" spans="2:3" s="8" customFormat="1" ht="15.75">
      <c r="B265" s="38"/>
      <c r="C265" s="38"/>
    </row>
    <row r="266" spans="2:3" s="8" customFormat="1" ht="15.75">
      <c r="B266" s="38"/>
      <c r="C266" s="38"/>
    </row>
    <row r="267" spans="2:3" s="8" customFormat="1" ht="15.75">
      <c r="B267" s="38"/>
      <c r="C267" s="38"/>
    </row>
    <row r="268" spans="2:3" s="8" customFormat="1" ht="15.75">
      <c r="B268" s="38"/>
      <c r="C268" s="38"/>
    </row>
    <row r="269" spans="2:3" s="8" customFormat="1" ht="15.75">
      <c r="B269" s="38"/>
      <c r="C269" s="38"/>
    </row>
    <row r="270" spans="2:3" s="8" customFormat="1" ht="15.75">
      <c r="B270" s="38"/>
      <c r="C270" s="38"/>
    </row>
    <row r="271" spans="2:3" s="8" customFormat="1" ht="15.75">
      <c r="B271" s="38"/>
      <c r="C271" s="38"/>
    </row>
    <row r="272" spans="2:3" s="8" customFormat="1" ht="15.75">
      <c r="B272" s="38"/>
      <c r="C272" s="38"/>
    </row>
    <row r="273" spans="2:3" s="8" customFormat="1" ht="15.75">
      <c r="B273" s="38"/>
      <c r="C273" s="38"/>
    </row>
    <row r="274" spans="2:3" s="8" customFormat="1" ht="15.75">
      <c r="B274" s="38"/>
      <c r="C274" s="38"/>
    </row>
    <row r="275" spans="2:3" s="8" customFormat="1" ht="15.75">
      <c r="B275" s="38"/>
      <c r="C275" s="38"/>
    </row>
    <row r="276" spans="2:3" s="8" customFormat="1" ht="15.75">
      <c r="B276" s="38"/>
      <c r="C276" s="38"/>
    </row>
    <row r="277" spans="2:3" s="8" customFormat="1" ht="15.75">
      <c r="B277" s="38"/>
      <c r="C277" s="38"/>
    </row>
    <row r="278" spans="2:3" s="8" customFormat="1" ht="15.75">
      <c r="B278" s="38"/>
      <c r="C278" s="38"/>
    </row>
    <row r="279" spans="2:3" s="8" customFormat="1" ht="15.75">
      <c r="B279" s="38"/>
      <c r="C279" s="38"/>
    </row>
    <row r="280" spans="2:3" s="8" customFormat="1" ht="15.75">
      <c r="B280" s="38"/>
      <c r="C280" s="38"/>
    </row>
    <row r="281" spans="2:3" s="8" customFormat="1" ht="15.75">
      <c r="B281" s="38"/>
      <c r="C281" s="38"/>
    </row>
    <row r="282" spans="2:3" s="8" customFormat="1" ht="15.75">
      <c r="B282" s="38"/>
      <c r="C282" s="38"/>
    </row>
    <row r="283" spans="2:3" s="8" customFormat="1" ht="15.75">
      <c r="B283" s="38"/>
      <c r="C283" s="38"/>
    </row>
    <row r="284" spans="2:3" s="8" customFormat="1" ht="15.75">
      <c r="B284" s="38"/>
      <c r="C284" s="38"/>
    </row>
    <row r="285" spans="2:3" s="8" customFormat="1" ht="15.75">
      <c r="B285" s="38"/>
      <c r="C285" s="38"/>
    </row>
    <row r="286" spans="2:3" s="8" customFormat="1" ht="15.75">
      <c r="B286" s="38"/>
      <c r="C286" s="38"/>
    </row>
    <row r="287" spans="2:3" s="8" customFormat="1" ht="15.75">
      <c r="B287" s="38"/>
      <c r="C287" s="38"/>
    </row>
    <row r="288" spans="2:3" s="8" customFormat="1" ht="15.75">
      <c r="B288" s="38"/>
      <c r="C288" s="38"/>
    </row>
    <row r="289" spans="2:3" s="8" customFormat="1" ht="15.75">
      <c r="B289" s="38"/>
      <c r="C289" s="38"/>
    </row>
    <row r="290" spans="2:3" s="8" customFormat="1" ht="15.75">
      <c r="B290" s="38"/>
      <c r="C290" s="38"/>
    </row>
    <row r="291" spans="2:3" s="8" customFormat="1" ht="15.75">
      <c r="B291" s="38"/>
      <c r="C291" s="38"/>
    </row>
    <row r="292" spans="2:3" s="8" customFormat="1" ht="15.75">
      <c r="B292" s="38"/>
      <c r="C292" s="38"/>
    </row>
    <row r="293" spans="2:3" s="8" customFormat="1" ht="15.75">
      <c r="B293" s="38"/>
      <c r="C293" s="38"/>
    </row>
    <row r="294" spans="2:3" s="8" customFormat="1" ht="15.75">
      <c r="B294" s="38"/>
      <c r="C294" s="38"/>
    </row>
    <row r="295" spans="2:3" s="8" customFormat="1" ht="15.75">
      <c r="B295" s="38"/>
      <c r="C295" s="38"/>
    </row>
    <row r="296" spans="2:3" s="8" customFormat="1" ht="15.75">
      <c r="B296" s="38"/>
      <c r="C296" s="38"/>
    </row>
    <row r="297" spans="2:3" s="8" customFormat="1" ht="15.75">
      <c r="B297" s="38"/>
      <c r="C297" s="38"/>
    </row>
    <row r="298" spans="2:3" s="8" customFormat="1" ht="15.75">
      <c r="B298" s="38"/>
      <c r="C298" s="38"/>
    </row>
    <row r="299" spans="2:3" s="8" customFormat="1" ht="15.75">
      <c r="B299" s="38"/>
      <c r="C299" s="38"/>
    </row>
    <row r="300" spans="2:3" s="8" customFormat="1" ht="15.75">
      <c r="B300" s="38"/>
      <c r="C300" s="38"/>
    </row>
    <row r="301" spans="2:3" s="8" customFormat="1" ht="15.75">
      <c r="B301" s="38"/>
      <c r="C301" s="38"/>
    </row>
    <row r="302" spans="2:3" s="8" customFormat="1" ht="15.75">
      <c r="B302" s="38"/>
      <c r="C302" s="38"/>
    </row>
    <row r="303" spans="2:3" s="8" customFormat="1" ht="15.75">
      <c r="B303" s="38"/>
      <c r="C303" s="38"/>
    </row>
    <row r="304" spans="2:3" s="8" customFormat="1" ht="15.75">
      <c r="B304" s="38"/>
      <c r="C304" s="38"/>
    </row>
    <row r="305" spans="2:3" s="8" customFormat="1" ht="15.75">
      <c r="B305" s="38"/>
      <c r="C305" s="38"/>
    </row>
    <row r="306" spans="2:3" s="8" customFormat="1" ht="15.75">
      <c r="B306" s="38"/>
      <c r="C306" s="38"/>
    </row>
    <row r="307" spans="2:3" s="8" customFormat="1" ht="15.75">
      <c r="B307" s="38"/>
      <c r="C307" s="38"/>
    </row>
    <row r="308" spans="2:3" s="8" customFormat="1" ht="15.75">
      <c r="B308" s="38"/>
      <c r="C308" s="38"/>
    </row>
    <row r="309" spans="2:3" s="8" customFormat="1" ht="15.75">
      <c r="B309" s="38"/>
      <c r="C309" s="38"/>
    </row>
    <row r="310" spans="2:3" s="8" customFormat="1" ht="15.75">
      <c r="B310" s="38"/>
      <c r="C310" s="38"/>
    </row>
    <row r="311" spans="2:3" s="8" customFormat="1" ht="15.75">
      <c r="B311" s="38"/>
      <c r="C311" s="38"/>
    </row>
    <row r="312" spans="2:3" s="8" customFormat="1" ht="15.75">
      <c r="B312" s="38"/>
      <c r="C312" s="38"/>
    </row>
    <row r="313" spans="2:3" s="8" customFormat="1" ht="15.75">
      <c r="B313" s="38"/>
      <c r="C313" s="38"/>
    </row>
    <row r="314" spans="2:3" s="8" customFormat="1" ht="15.75">
      <c r="B314" s="38"/>
      <c r="C314" s="38"/>
    </row>
    <row r="315" spans="2:3" s="8" customFormat="1" ht="15.75">
      <c r="B315" s="38"/>
      <c r="C315" s="38"/>
    </row>
    <row r="316" spans="2:3" s="8" customFormat="1" ht="15.75">
      <c r="B316" s="38"/>
      <c r="C316" s="38"/>
    </row>
    <row r="317" spans="2:3" s="8" customFormat="1" ht="15.75">
      <c r="B317" s="38"/>
      <c r="C317" s="38"/>
    </row>
    <row r="318" spans="2:3" s="8" customFormat="1" ht="15.75">
      <c r="B318" s="38"/>
      <c r="C318" s="38"/>
    </row>
    <row r="319" spans="2:3" s="8" customFormat="1" ht="15.75">
      <c r="B319" s="38"/>
      <c r="C319" s="38"/>
    </row>
    <row r="320" spans="2:3" s="8" customFormat="1" ht="15.75">
      <c r="B320" s="38"/>
      <c r="C320" s="38"/>
    </row>
    <row r="321" spans="2:3" s="8" customFormat="1" ht="15.75">
      <c r="B321" s="38"/>
      <c r="C321" s="38"/>
    </row>
    <row r="322" spans="2:3" s="8" customFormat="1" ht="15.75">
      <c r="B322" s="38"/>
      <c r="C322" s="38"/>
    </row>
    <row r="323" spans="2:3" s="8" customFormat="1" ht="15.75">
      <c r="B323" s="38"/>
      <c r="C323" s="38"/>
    </row>
    <row r="324" spans="2:3" s="8" customFormat="1" ht="15.75">
      <c r="B324" s="38"/>
      <c r="C324" s="38"/>
    </row>
    <row r="325" spans="2:3" s="8" customFormat="1" ht="15.75">
      <c r="B325" s="38"/>
      <c r="C325" s="38"/>
    </row>
    <row r="326" spans="2:3" s="8" customFormat="1" ht="15.75">
      <c r="B326" s="38"/>
      <c r="C326" s="38"/>
    </row>
    <row r="327" spans="2:3" s="8" customFormat="1" ht="15.75">
      <c r="B327" s="38"/>
      <c r="C327" s="38"/>
    </row>
    <row r="328" spans="2:3" s="8" customFormat="1" ht="15.75">
      <c r="B328" s="38"/>
      <c r="C328" s="38"/>
    </row>
    <row r="329" spans="2:3" s="8" customFormat="1" ht="15.75">
      <c r="B329" s="38"/>
      <c r="C329" s="38"/>
    </row>
    <row r="330" spans="2:3" s="8" customFormat="1" ht="15.75">
      <c r="B330" s="38"/>
      <c r="C330" s="38"/>
    </row>
    <row r="331" spans="2:3" s="8" customFormat="1" ht="15.75">
      <c r="B331" s="38"/>
      <c r="C331" s="38"/>
    </row>
    <row r="332" spans="2:3" s="8" customFormat="1" ht="15.75">
      <c r="B332" s="38"/>
      <c r="C332" s="38"/>
    </row>
    <row r="333" spans="2:3" s="8" customFormat="1" ht="15.75">
      <c r="B333" s="38"/>
      <c r="C333" s="38"/>
    </row>
    <row r="334" spans="2:3" s="8" customFormat="1" ht="15.75">
      <c r="B334" s="38"/>
      <c r="C334" s="38"/>
    </row>
    <row r="335" spans="2:3" s="8" customFormat="1" ht="15.75">
      <c r="B335" s="38"/>
      <c r="C335" s="38"/>
    </row>
    <row r="336" spans="2:3" s="8" customFormat="1" ht="15.75">
      <c r="B336" s="38"/>
      <c r="C336" s="38"/>
    </row>
    <row r="337" spans="2:3" s="8" customFormat="1" ht="15.75">
      <c r="B337" s="38"/>
      <c r="C337" s="38"/>
    </row>
    <row r="338" spans="2:3" s="8" customFormat="1" ht="15.75">
      <c r="B338" s="38"/>
      <c r="C338" s="38"/>
    </row>
    <row r="339" spans="2:3" s="8" customFormat="1" ht="15.75">
      <c r="B339" s="38"/>
      <c r="C339" s="38"/>
    </row>
    <row r="340" spans="2:3" s="8" customFormat="1" ht="15.75">
      <c r="B340" s="38"/>
      <c r="C340" s="38"/>
    </row>
    <row r="341" spans="2:3" s="8" customFormat="1" ht="15.75">
      <c r="B341" s="38"/>
      <c r="C341" s="38"/>
    </row>
    <row r="342" spans="2:3" s="8" customFormat="1" ht="15.75">
      <c r="B342" s="38"/>
      <c r="C342" s="38"/>
    </row>
    <row r="343" spans="2:3" s="8" customFormat="1" ht="15.75">
      <c r="B343" s="38"/>
      <c r="C343" s="38"/>
    </row>
    <row r="344" spans="2:3" s="8" customFormat="1" ht="15.75">
      <c r="B344" s="38"/>
      <c r="C344" s="38"/>
    </row>
    <row r="345" spans="2:3" s="8" customFormat="1" ht="15.75">
      <c r="B345" s="38"/>
      <c r="C345" s="38"/>
    </row>
    <row r="346" spans="2:3" s="8" customFormat="1" ht="15.75">
      <c r="B346" s="38"/>
      <c r="C346" s="38"/>
    </row>
    <row r="347" spans="2:3" s="8" customFormat="1" ht="15.75">
      <c r="B347" s="38"/>
      <c r="C347" s="38"/>
    </row>
    <row r="348" spans="2:3" s="8" customFormat="1" ht="15.75">
      <c r="B348" s="38"/>
      <c r="C348" s="38"/>
    </row>
    <row r="349" spans="2:3" s="8" customFormat="1" ht="15.75">
      <c r="B349" s="38"/>
      <c r="C349" s="38"/>
    </row>
    <row r="350" spans="2:3" s="8" customFormat="1" ht="15.75">
      <c r="B350" s="38"/>
      <c r="C350" s="38"/>
    </row>
    <row r="351" spans="2:3" s="8" customFormat="1" ht="15.75">
      <c r="B351" s="38"/>
      <c r="C351" s="38"/>
    </row>
    <row r="352" spans="2:3" s="8" customFormat="1" ht="15.75">
      <c r="B352" s="38"/>
      <c r="C352" s="38"/>
    </row>
    <row r="353" spans="2:3" s="8" customFormat="1" ht="15.75">
      <c r="B353" s="38"/>
      <c r="C353" s="38"/>
    </row>
    <row r="354" spans="2:3" s="8" customFormat="1" ht="15.75">
      <c r="B354" s="38"/>
      <c r="C354" s="38"/>
    </row>
    <row r="355" spans="2:3" s="8" customFormat="1" ht="15.75">
      <c r="B355" s="38"/>
      <c r="C355" s="38"/>
    </row>
    <row r="356" spans="2:3" s="8" customFormat="1" ht="15.75">
      <c r="B356" s="38"/>
      <c r="C356" s="38"/>
    </row>
    <row r="357" spans="2:3" s="8" customFormat="1" ht="15.75">
      <c r="B357" s="38"/>
      <c r="C357" s="38"/>
    </row>
    <row r="358" spans="2:3" s="8" customFormat="1" ht="15.75">
      <c r="B358" s="38"/>
      <c r="C358" s="38"/>
    </row>
    <row r="359" spans="2:3" s="8" customFormat="1" ht="15.75">
      <c r="B359" s="38"/>
      <c r="C359" s="38"/>
    </row>
    <row r="360" spans="2:3" s="8" customFormat="1" ht="15.75">
      <c r="B360" s="38"/>
      <c r="C360" s="38"/>
    </row>
    <row r="361" spans="2:3" s="8" customFormat="1" ht="15.75">
      <c r="B361" s="38"/>
      <c r="C361" s="38"/>
    </row>
    <row r="362" spans="2:3" s="8" customFormat="1" ht="15.75">
      <c r="B362" s="38"/>
      <c r="C362" s="38"/>
    </row>
    <row r="363" spans="2:3" s="8" customFormat="1" ht="15.75">
      <c r="B363" s="38"/>
      <c r="C363" s="38"/>
    </row>
    <row r="364" spans="2:3" s="8" customFormat="1" ht="15.75">
      <c r="B364" s="38"/>
      <c r="C364" s="38"/>
    </row>
    <row r="365" spans="2:3" s="8" customFormat="1" ht="15.75">
      <c r="B365" s="38"/>
      <c r="C365" s="38"/>
    </row>
    <row r="366" spans="2:3" s="8" customFormat="1" ht="15.75">
      <c r="B366" s="38"/>
      <c r="C366" s="38"/>
    </row>
    <row r="367" spans="2:3" s="8" customFormat="1" ht="15.75">
      <c r="B367" s="38"/>
      <c r="C367" s="38"/>
    </row>
    <row r="368" spans="2:3" s="8" customFormat="1" ht="15.75">
      <c r="B368" s="38"/>
      <c r="C368" s="38"/>
    </row>
    <row r="369" spans="2:3" s="8" customFormat="1" ht="15.75">
      <c r="B369" s="38"/>
      <c r="C369" s="38"/>
    </row>
    <row r="370" spans="2:3" s="8" customFormat="1" ht="15.75">
      <c r="B370" s="38"/>
      <c r="C370" s="38"/>
    </row>
    <row r="371" spans="2:3" s="8" customFormat="1" ht="15.75">
      <c r="B371" s="38"/>
      <c r="C371" s="38"/>
    </row>
    <row r="372" spans="2:3" s="8" customFormat="1" ht="15.75">
      <c r="B372" s="38"/>
      <c r="C372" s="38"/>
    </row>
  </sheetData>
  <sheetProtection formatCells="0" formatColumns="0"/>
  <mergeCells count="2">
    <mergeCell ref="A3:B3"/>
    <mergeCell ref="A1:E1"/>
  </mergeCells>
  <phoneticPr fontId="0" type="noConversion"/>
  <printOptions horizontalCentered="1"/>
  <pageMargins left="0.19685039370078741" right="0.11811023622047245" top="0.74803149606299213" bottom="0.15748031496062992" header="0.51181102362204722" footer="0.51181102362204722"/>
  <pageSetup paperSize="9" scale="92" orientation="portrait" horizontalDpi="4294967295" verticalDpi="4294967295" r:id="rId1"/>
  <headerFooter alignWithMargins="0">
    <oddHeader>&amp;A</oddHeader>
    <oddFooter>&amp;Limprimé le &amp;D</oddFooter>
  </headerFooter>
  <rowBreaks count="1" manualBreakCount="1">
    <brk id="39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indexed="50"/>
  </sheetPr>
  <dimension ref="A1:L54"/>
  <sheetViews>
    <sheetView showGridLines="0" view="pageLayout" zoomScale="75" zoomScaleNormal="75" zoomScalePageLayoutView="75" workbookViewId="0">
      <selection activeCell="E9" sqref="E9"/>
    </sheetView>
  </sheetViews>
  <sheetFormatPr baseColWidth="10" defaultColWidth="10.85546875" defaultRowHeight="15"/>
  <cols>
    <col min="1" max="1" width="32.28515625" style="300" customWidth="1"/>
    <col min="2" max="2" width="5.42578125" style="464" customWidth="1"/>
    <col min="3" max="3" width="12.42578125" style="386" customWidth="1"/>
    <col min="4" max="4" width="12.28515625" style="386" bestFit="1" customWidth="1"/>
    <col min="5" max="5" width="8.7109375" style="386" customWidth="1"/>
    <col min="6" max="6" width="12.7109375" style="386" customWidth="1"/>
    <col min="7" max="7" width="11.7109375" style="9" customWidth="1"/>
    <col min="8" max="16384" width="10.85546875" style="9"/>
  </cols>
  <sheetData>
    <row r="1" spans="1:12" ht="24.95" customHeight="1">
      <c r="A1" s="731" t="s">
        <v>494</v>
      </c>
      <c r="B1" s="732"/>
      <c r="C1" s="732"/>
      <c r="D1" s="732"/>
      <c r="E1" s="732"/>
      <c r="F1" s="732"/>
      <c r="G1" s="732"/>
      <c r="H1" s="51"/>
    </row>
    <row r="2" spans="1:12" ht="24.95" customHeight="1">
      <c r="A2" s="314" t="str">
        <f>'1.0 Plan de financement'!A3:C3</f>
        <v>Allizéo Web</v>
      </c>
      <c r="B2" s="462"/>
      <c r="C2" s="157"/>
      <c r="D2" s="157"/>
      <c r="E2" s="157"/>
      <c r="F2" s="157"/>
      <c r="G2" s="51"/>
      <c r="H2" s="51"/>
    </row>
    <row r="3" spans="1:12" ht="24.95" customHeight="1">
      <c r="A3" s="55"/>
      <c r="B3" s="51"/>
      <c r="C3" s="157"/>
      <c r="D3" s="157"/>
      <c r="E3" s="157"/>
      <c r="F3" s="157"/>
      <c r="G3" s="51"/>
      <c r="H3" s="51"/>
    </row>
    <row r="4" spans="1:12" ht="24.95" customHeight="1">
      <c r="A4" s="55"/>
      <c r="B4" s="51"/>
      <c r="C4" s="733" t="s">
        <v>495</v>
      </c>
      <c r="D4" s="734"/>
      <c r="E4" s="395" t="s">
        <v>0</v>
      </c>
      <c r="F4" s="735" t="s">
        <v>496</v>
      </c>
      <c r="G4" s="736"/>
      <c r="H4" s="51"/>
    </row>
    <row r="5" spans="1:12" ht="24.95" customHeight="1">
      <c r="A5" s="526" t="s">
        <v>20</v>
      </c>
      <c r="B5" s="527" t="s">
        <v>416</v>
      </c>
      <c r="C5" s="396" t="s">
        <v>473</v>
      </c>
      <c r="D5" s="396" t="s">
        <v>474</v>
      </c>
      <c r="E5" s="397" t="s">
        <v>190</v>
      </c>
      <c r="F5" s="396" t="s">
        <v>473</v>
      </c>
      <c r="G5" s="396" t="s">
        <v>474</v>
      </c>
      <c r="H5" s="51"/>
    </row>
    <row r="6" spans="1:12" ht="24.95" customHeight="1">
      <c r="A6" s="590"/>
      <c r="B6" s="591">
        <v>0.19600000000000001</v>
      </c>
      <c r="C6" s="592"/>
      <c r="D6" s="592"/>
      <c r="E6" s="465">
        <f t="shared" ref="E6:E22" si="0">(C6+D6)*B6</f>
        <v>0</v>
      </c>
      <c r="F6" s="592"/>
      <c r="G6" s="592"/>
      <c r="H6" s="650"/>
      <c r="I6" s="653"/>
    </row>
    <row r="7" spans="1:12" ht="24.95" customHeight="1">
      <c r="A7" s="590"/>
      <c r="B7" s="591">
        <v>0.19600000000000001</v>
      </c>
      <c r="C7" s="592"/>
      <c r="D7" s="592"/>
      <c r="E7" s="465">
        <f t="shared" si="0"/>
        <v>0</v>
      </c>
      <c r="F7" s="592"/>
      <c r="G7" s="592"/>
      <c r="H7" s="650"/>
      <c r="I7" s="653"/>
    </row>
    <row r="8" spans="1:12" ht="24.95" customHeight="1">
      <c r="A8" s="590"/>
      <c r="B8" s="591">
        <v>0.19600000000000001</v>
      </c>
      <c r="C8" s="592"/>
      <c r="D8" s="592"/>
      <c r="E8" s="465">
        <f t="shared" si="0"/>
        <v>0</v>
      </c>
      <c r="F8" s="592"/>
      <c r="G8" s="592"/>
      <c r="H8" s="650"/>
      <c r="I8" s="653"/>
    </row>
    <row r="9" spans="1:12" ht="24.95" customHeight="1">
      <c r="A9" s="590"/>
      <c r="B9" s="591">
        <v>0</v>
      </c>
      <c r="C9" s="592"/>
      <c r="D9" s="592"/>
      <c r="E9" s="465">
        <f t="shared" si="0"/>
        <v>0</v>
      </c>
      <c r="F9" s="592"/>
      <c r="G9" s="592"/>
      <c r="H9" s="650"/>
      <c r="I9" s="653"/>
    </row>
    <row r="10" spans="1:12" ht="24.95" customHeight="1">
      <c r="A10" s="590"/>
      <c r="B10" s="591">
        <v>0</v>
      </c>
      <c r="C10" s="592"/>
      <c r="D10" s="592"/>
      <c r="E10" s="465">
        <f t="shared" si="0"/>
        <v>0</v>
      </c>
      <c r="F10" s="592"/>
      <c r="G10" s="592"/>
      <c r="H10" s="650"/>
      <c r="I10" s="653"/>
    </row>
    <row r="11" spans="1:12" ht="24.95" customHeight="1">
      <c r="A11" s="590"/>
      <c r="B11" s="591">
        <v>0</v>
      </c>
      <c r="C11" s="592"/>
      <c r="D11" s="592"/>
      <c r="E11" s="465">
        <f t="shared" si="0"/>
        <v>0</v>
      </c>
      <c r="F11" s="592"/>
      <c r="G11" s="592"/>
      <c r="H11" s="650"/>
      <c r="I11" s="653"/>
    </row>
    <row r="12" spans="1:12" ht="24.95" customHeight="1">
      <c r="A12" s="590"/>
      <c r="B12" s="591">
        <v>0</v>
      </c>
      <c r="C12" s="592"/>
      <c r="D12" s="592"/>
      <c r="E12" s="465">
        <f t="shared" si="0"/>
        <v>0</v>
      </c>
      <c r="F12" s="592"/>
      <c r="G12" s="592"/>
      <c r="H12" s="650"/>
      <c r="I12" s="653"/>
    </row>
    <row r="13" spans="1:12" ht="24.95" customHeight="1">
      <c r="A13" s="590"/>
      <c r="B13" s="591">
        <v>0</v>
      </c>
      <c r="C13" s="592"/>
      <c r="D13" s="592"/>
      <c r="E13" s="465">
        <f t="shared" si="0"/>
        <v>0</v>
      </c>
      <c r="F13" s="592"/>
      <c r="G13" s="592"/>
      <c r="H13" s="650"/>
      <c r="I13" s="653"/>
    </row>
    <row r="14" spans="1:12" ht="24.95" customHeight="1">
      <c r="A14" s="590"/>
      <c r="B14" s="591">
        <v>0</v>
      </c>
      <c r="C14" s="592"/>
      <c r="D14" s="592"/>
      <c r="E14" s="465">
        <f t="shared" si="0"/>
        <v>0</v>
      </c>
      <c r="F14" s="592"/>
      <c r="G14" s="592"/>
      <c r="H14" s="650"/>
      <c r="I14" s="653"/>
    </row>
    <row r="15" spans="1:12" ht="24.95" customHeight="1">
      <c r="A15" s="590"/>
      <c r="B15" s="591">
        <v>0</v>
      </c>
      <c r="C15" s="592"/>
      <c r="D15" s="592"/>
      <c r="E15" s="465">
        <f t="shared" si="0"/>
        <v>0</v>
      </c>
      <c r="F15" s="592"/>
      <c r="G15" s="592"/>
      <c r="H15" s="650"/>
      <c r="I15" s="653"/>
    </row>
    <row r="16" spans="1:12" ht="24.95" customHeight="1">
      <c r="A16" s="590"/>
      <c r="B16" s="591">
        <v>0</v>
      </c>
      <c r="C16" s="592"/>
      <c r="D16" s="592"/>
      <c r="E16" s="465">
        <f t="shared" si="0"/>
        <v>0</v>
      </c>
      <c r="F16" s="592"/>
      <c r="G16" s="592"/>
      <c r="H16" s="650"/>
      <c r="I16" s="653"/>
      <c r="L16" s="51"/>
    </row>
    <row r="17" spans="1:9" ht="24.95" customHeight="1">
      <c r="A17" s="590"/>
      <c r="B17" s="591">
        <v>0</v>
      </c>
      <c r="C17" s="592"/>
      <c r="D17" s="592"/>
      <c r="E17" s="465">
        <f t="shared" si="0"/>
        <v>0</v>
      </c>
      <c r="F17" s="592"/>
      <c r="G17" s="592"/>
      <c r="H17" s="650"/>
      <c r="I17" s="653"/>
    </row>
    <row r="18" spans="1:9" ht="24.95" customHeight="1">
      <c r="A18" s="590"/>
      <c r="B18" s="591">
        <v>0</v>
      </c>
      <c r="C18" s="592"/>
      <c r="D18" s="592"/>
      <c r="E18" s="465">
        <f t="shared" si="0"/>
        <v>0</v>
      </c>
      <c r="F18" s="592"/>
      <c r="G18" s="592"/>
      <c r="H18" s="650"/>
      <c r="I18" s="653"/>
    </row>
    <row r="19" spans="1:9" ht="24.95" customHeight="1">
      <c r="A19" s="590"/>
      <c r="B19" s="591">
        <v>0</v>
      </c>
      <c r="C19" s="592"/>
      <c r="D19" s="592"/>
      <c r="E19" s="465">
        <f t="shared" si="0"/>
        <v>0</v>
      </c>
      <c r="F19" s="592"/>
      <c r="G19" s="592"/>
      <c r="H19" s="650"/>
      <c r="I19" s="653"/>
    </row>
    <row r="20" spans="1:9" ht="24.95" customHeight="1">
      <c r="A20" s="590"/>
      <c r="B20" s="591">
        <v>0</v>
      </c>
      <c r="C20" s="592"/>
      <c r="D20" s="592"/>
      <c r="E20" s="465">
        <f t="shared" si="0"/>
        <v>0</v>
      </c>
      <c r="F20" s="592"/>
      <c r="G20" s="592"/>
      <c r="H20" s="650"/>
      <c r="I20" s="653"/>
    </row>
    <row r="21" spans="1:9" ht="24.95" customHeight="1">
      <c r="A21" s="590"/>
      <c r="B21" s="591">
        <v>0</v>
      </c>
      <c r="C21" s="592"/>
      <c r="D21" s="592"/>
      <c r="E21" s="465">
        <f t="shared" si="0"/>
        <v>0</v>
      </c>
      <c r="F21" s="592"/>
      <c r="G21" s="592"/>
      <c r="H21" s="650"/>
      <c r="I21" s="653"/>
    </row>
    <row r="22" spans="1:9" ht="24.95" customHeight="1">
      <c r="A22" s="590"/>
      <c r="B22" s="591">
        <v>0</v>
      </c>
      <c r="C22" s="592"/>
      <c r="D22" s="592"/>
      <c r="E22" s="465">
        <f t="shared" si="0"/>
        <v>0</v>
      </c>
      <c r="F22" s="592"/>
      <c r="G22" s="592"/>
      <c r="H22" s="650"/>
      <c r="I22" s="653"/>
    </row>
    <row r="23" spans="1:9" ht="24.95" customHeight="1">
      <c r="A23" s="255" t="s">
        <v>22</v>
      </c>
      <c r="B23" s="463"/>
      <c r="C23" s="385">
        <f>SUM(C5:C22)</f>
        <v>0</v>
      </c>
      <c r="D23" s="385">
        <f>SUM(D6:D22)</f>
        <v>0</v>
      </c>
      <c r="E23" s="385">
        <f>SUM(E5:E22)</f>
        <v>0</v>
      </c>
      <c r="F23" s="385">
        <f>SUM(F5:F22)</f>
        <v>0</v>
      </c>
      <c r="G23" s="385">
        <f>SUM(G5:G22)</f>
        <v>0</v>
      </c>
      <c r="H23" s="51"/>
    </row>
    <row r="24" spans="1:9" ht="24.95" customHeight="1">
      <c r="A24" s="55"/>
      <c r="B24" s="51"/>
      <c r="C24" s="157"/>
      <c r="D24" s="157"/>
      <c r="E24" s="157"/>
      <c r="F24" s="157"/>
      <c r="G24" s="51"/>
      <c r="H24" s="51"/>
    </row>
    <row r="25" spans="1:9" ht="24.95" customHeight="1">
      <c r="A25" s="55"/>
      <c r="B25" s="51"/>
      <c r="C25" s="157"/>
      <c r="D25" s="157"/>
      <c r="E25" s="157"/>
      <c r="F25" s="157"/>
      <c r="G25" s="51"/>
      <c r="H25" s="51"/>
    </row>
    <row r="26" spans="1:9" ht="24.95" customHeight="1">
      <c r="A26" s="55"/>
      <c r="B26" s="51"/>
      <c r="C26" s="157"/>
      <c r="D26" s="157"/>
      <c r="E26" s="157"/>
      <c r="F26" s="157"/>
      <c r="G26" s="51"/>
      <c r="H26" s="51"/>
    </row>
    <row r="27" spans="1:9" ht="24.95" customHeight="1">
      <c r="A27" s="55"/>
      <c r="B27" s="51"/>
      <c r="C27" s="157"/>
      <c r="D27" s="157"/>
      <c r="E27" s="157"/>
      <c r="F27" s="157"/>
      <c r="G27" s="51"/>
      <c r="H27" s="51"/>
    </row>
    <row r="28" spans="1:9" ht="24.95" customHeight="1">
      <c r="A28" s="55"/>
      <c r="B28" s="51"/>
      <c r="C28" s="157"/>
      <c r="D28" s="157"/>
      <c r="E28" s="157"/>
      <c r="F28" s="157"/>
      <c r="G28" s="51"/>
      <c r="H28" s="51"/>
    </row>
    <row r="29" spans="1:9" ht="24.95" customHeight="1">
      <c r="A29" s="55"/>
      <c r="B29" s="51"/>
      <c r="C29" s="157"/>
      <c r="D29" s="157"/>
      <c r="E29" s="157"/>
      <c r="F29" s="157"/>
      <c r="G29" s="51"/>
      <c r="H29" s="51"/>
    </row>
    <row r="30" spans="1:9" ht="24.95" customHeight="1">
      <c r="A30" s="55"/>
      <c r="B30" s="51"/>
      <c r="C30" s="157"/>
      <c r="D30" s="157"/>
      <c r="E30" s="157"/>
      <c r="F30" s="157"/>
      <c r="G30" s="51"/>
      <c r="H30" s="51"/>
    </row>
    <row r="31" spans="1:9" ht="24.95" customHeight="1">
      <c r="A31" s="55"/>
      <c r="B31" s="51"/>
      <c r="C31" s="157"/>
      <c r="D31" s="157"/>
      <c r="E31" s="157"/>
      <c r="F31" s="157"/>
      <c r="G31" s="51"/>
      <c r="H31" s="51"/>
    </row>
    <row r="32" spans="1:9" ht="24.95" customHeight="1">
      <c r="A32" s="55"/>
      <c r="B32" s="51"/>
      <c r="C32" s="157"/>
      <c r="D32" s="157"/>
      <c r="E32" s="157"/>
      <c r="F32" s="157"/>
      <c r="G32" s="51"/>
      <c r="H32" s="51"/>
    </row>
    <row r="33" spans="1:8" ht="24.95" customHeight="1">
      <c r="A33" s="55"/>
      <c r="B33" s="51"/>
      <c r="C33" s="157"/>
      <c r="D33" s="157"/>
      <c r="E33" s="157"/>
      <c r="F33" s="157"/>
      <c r="G33" s="51"/>
      <c r="H33" s="51"/>
    </row>
    <row r="34" spans="1:8" ht="24.95" customHeight="1">
      <c r="A34" s="55"/>
      <c r="B34" s="51"/>
      <c r="C34" s="157"/>
      <c r="D34" s="157"/>
      <c r="E34" s="157"/>
      <c r="F34" s="157"/>
      <c r="G34" s="51"/>
      <c r="H34" s="51"/>
    </row>
    <row r="35" spans="1:8" ht="24.95" customHeight="1">
      <c r="A35" s="55"/>
      <c r="B35" s="51"/>
      <c r="C35" s="157"/>
      <c r="D35" s="157"/>
      <c r="E35" s="157"/>
      <c r="F35" s="157"/>
      <c r="G35" s="51"/>
      <c r="H35" s="51"/>
    </row>
    <row r="36" spans="1:8" ht="24.95" customHeight="1">
      <c r="A36" s="55"/>
      <c r="B36" s="51"/>
      <c r="C36" s="157"/>
      <c r="D36" s="157"/>
      <c r="E36" s="157"/>
      <c r="F36" s="157"/>
      <c r="G36" s="51"/>
      <c r="H36" s="51"/>
    </row>
    <row r="37" spans="1:8" ht="24.95" customHeight="1">
      <c r="A37" s="55"/>
      <c r="B37" s="51"/>
      <c r="C37" s="157"/>
      <c r="D37" s="157"/>
      <c r="E37" s="157"/>
      <c r="F37" s="157"/>
      <c r="G37" s="51"/>
      <c r="H37" s="51"/>
    </row>
    <row r="38" spans="1:8" ht="24.95" customHeight="1">
      <c r="A38" s="55"/>
      <c r="B38" s="51"/>
      <c r="C38" s="157"/>
      <c r="D38" s="157"/>
      <c r="E38" s="157"/>
      <c r="F38" s="157"/>
      <c r="G38" s="51"/>
      <c r="H38" s="51"/>
    </row>
    <row r="39" spans="1:8" ht="24.95" customHeight="1">
      <c r="A39" s="55"/>
      <c r="B39" s="51"/>
      <c r="C39" s="157"/>
      <c r="D39" s="157"/>
      <c r="E39" s="157"/>
      <c r="F39" s="157"/>
      <c r="G39" s="51"/>
      <c r="H39" s="51"/>
    </row>
    <row r="40" spans="1:8" ht="24.95" customHeight="1">
      <c r="A40" s="55"/>
      <c r="B40" s="51"/>
      <c r="C40" s="157"/>
      <c r="D40" s="157"/>
      <c r="E40" s="157"/>
      <c r="F40" s="157"/>
      <c r="G40" s="51"/>
      <c r="H40" s="51"/>
    </row>
    <row r="41" spans="1:8" ht="24.95" customHeight="1">
      <c r="A41" s="55"/>
      <c r="B41" s="51"/>
      <c r="C41" s="157"/>
      <c r="D41" s="157"/>
      <c r="E41" s="157"/>
      <c r="F41" s="157"/>
      <c r="G41" s="51"/>
      <c r="H41" s="51"/>
    </row>
    <row r="42" spans="1:8" ht="24.95" customHeight="1">
      <c r="A42" s="55"/>
      <c r="B42" s="51"/>
      <c r="C42" s="157"/>
      <c r="D42" s="157"/>
      <c r="E42" s="157"/>
      <c r="F42" s="157"/>
      <c r="G42" s="51"/>
      <c r="H42" s="51"/>
    </row>
    <row r="43" spans="1:8" ht="24.95" customHeight="1">
      <c r="A43" s="55"/>
      <c r="B43" s="51"/>
      <c r="C43" s="157"/>
      <c r="D43" s="157"/>
      <c r="E43" s="157"/>
      <c r="F43" s="157"/>
      <c r="G43" s="51"/>
      <c r="H43" s="51"/>
    </row>
    <row r="44" spans="1:8" ht="24.95" customHeight="1">
      <c r="A44" s="55"/>
      <c r="B44" s="51"/>
      <c r="C44" s="157"/>
      <c r="D44" s="157"/>
      <c r="E44" s="157"/>
      <c r="F44" s="157"/>
      <c r="G44" s="51"/>
      <c r="H44" s="51"/>
    </row>
    <row r="45" spans="1:8" ht="24.95" customHeight="1">
      <c r="A45" s="55"/>
      <c r="B45" s="51"/>
      <c r="C45" s="157"/>
      <c r="D45" s="157"/>
      <c r="E45" s="157"/>
      <c r="F45" s="157"/>
      <c r="G45" s="51"/>
      <c r="H45" s="51"/>
    </row>
    <row r="46" spans="1:8" ht="24.95" customHeight="1">
      <c r="A46" s="55"/>
      <c r="B46" s="51"/>
      <c r="C46" s="157"/>
      <c r="D46" s="157"/>
      <c r="E46" s="157"/>
      <c r="F46" s="157"/>
      <c r="G46" s="51"/>
      <c r="H46" s="51"/>
    </row>
    <row r="47" spans="1:8" ht="24.95" customHeight="1">
      <c r="A47" s="55"/>
      <c r="B47" s="51"/>
      <c r="C47" s="157"/>
      <c r="D47" s="157"/>
      <c r="E47" s="157"/>
      <c r="F47" s="157"/>
      <c r="G47" s="51"/>
      <c r="H47" s="51"/>
    </row>
    <row r="48" spans="1:8" ht="24.95" customHeight="1">
      <c r="A48" s="55"/>
      <c r="B48" s="51"/>
      <c r="C48" s="157"/>
      <c r="D48" s="157"/>
      <c r="E48" s="157"/>
      <c r="F48" s="157"/>
      <c r="G48" s="51"/>
      <c r="H48" s="51"/>
    </row>
    <row r="49" spans="1:8" ht="24.95" customHeight="1">
      <c r="A49" s="55"/>
      <c r="B49" s="51"/>
      <c r="C49" s="157"/>
      <c r="D49" s="157"/>
      <c r="E49" s="157"/>
      <c r="F49" s="157"/>
      <c r="G49" s="51"/>
      <c r="H49" s="51"/>
    </row>
    <row r="50" spans="1:8" ht="19.5">
      <c r="A50" s="55"/>
      <c r="B50" s="51"/>
      <c r="C50" s="157"/>
      <c r="D50" s="157"/>
      <c r="E50" s="157"/>
      <c r="F50" s="157"/>
      <c r="G50" s="51"/>
      <c r="H50" s="51"/>
    </row>
    <row r="51" spans="1:8" ht="19.5">
      <c r="A51" s="55"/>
      <c r="B51" s="51"/>
      <c r="C51" s="157"/>
      <c r="D51" s="157"/>
      <c r="E51" s="157"/>
      <c r="F51" s="157"/>
      <c r="G51" s="51"/>
      <c r="H51" s="51"/>
    </row>
    <row r="52" spans="1:8" ht="19.5">
      <c r="A52" s="55"/>
      <c r="B52" s="51"/>
      <c r="C52" s="157"/>
      <c r="D52" s="157"/>
      <c r="E52" s="157"/>
      <c r="F52" s="157"/>
      <c r="G52" s="51"/>
      <c r="H52" s="51"/>
    </row>
    <row r="53" spans="1:8" ht="19.5">
      <c r="A53" s="55"/>
      <c r="B53" s="51"/>
      <c r="C53" s="157"/>
      <c r="D53" s="157"/>
      <c r="E53" s="157"/>
      <c r="F53" s="157"/>
      <c r="G53" s="51"/>
      <c r="H53" s="51"/>
    </row>
    <row r="54" spans="1:8" ht="19.5">
      <c r="A54" s="55"/>
      <c r="B54" s="51"/>
      <c r="C54" s="157"/>
      <c r="D54" s="157"/>
      <c r="E54" s="157"/>
      <c r="F54" s="157"/>
      <c r="G54" s="51"/>
      <c r="H54" s="51"/>
    </row>
  </sheetData>
  <sheetProtection password="EFA0" sheet="1" objects="1" scenarios="1" formatCells="0" formatColumns="0"/>
  <mergeCells count="3">
    <mergeCell ref="A1:G1"/>
    <mergeCell ref="C4:D4"/>
    <mergeCell ref="F4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95" orientation="portrait" horizontalDpi="4294967295" verticalDpi="4294967295" r:id="rId1"/>
  <headerFooter alignWithMargins="0">
    <oddHeader>&amp;A</oddHeader>
    <oddFooter>&amp;Limprimé le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50"/>
  </sheetPr>
  <dimension ref="A1:H340"/>
  <sheetViews>
    <sheetView showGridLines="0" view="pageLayout" topLeftCell="A11" workbookViewId="0">
      <selection activeCell="B10" sqref="B10"/>
    </sheetView>
  </sheetViews>
  <sheetFormatPr baseColWidth="10" defaultColWidth="10.85546875" defaultRowHeight="15.75"/>
  <cols>
    <col min="1" max="1" width="59.42578125" style="8" bestFit="1" customWidth="1"/>
    <col min="2" max="2" width="12.42578125" style="39" customWidth="1"/>
    <col min="3" max="3" width="9.85546875" style="6" bestFit="1" customWidth="1"/>
    <col min="4" max="4" width="10.85546875" style="6"/>
    <col min="5" max="6" width="10.85546875" style="649"/>
    <col min="7" max="16384" width="10.85546875" style="6"/>
  </cols>
  <sheetData>
    <row r="1" spans="1:8" ht="23.25" thickBot="1">
      <c r="A1" s="740" t="s">
        <v>21</v>
      </c>
      <c r="B1" s="741"/>
      <c r="C1" s="741"/>
      <c r="D1" s="742"/>
    </row>
    <row r="2" spans="1:8" ht="19.5">
      <c r="A2" s="749" t="str">
        <f>'1.0 Plan de financement'!A3:C3</f>
        <v>Allizéo Web</v>
      </c>
      <c r="B2" s="749"/>
      <c r="C2" s="749"/>
      <c r="D2" s="749"/>
    </row>
    <row r="3" spans="1:8" ht="22.5" customHeight="1">
      <c r="A3" s="315" t="s">
        <v>428</v>
      </c>
      <c r="B3" s="303"/>
      <c r="C3" s="52"/>
      <c r="D3" s="51"/>
    </row>
    <row r="4" spans="1:8" ht="22.5" customHeight="1">
      <c r="A4" s="55"/>
      <c r="B4" s="745" t="s">
        <v>140</v>
      </c>
      <c r="C4" s="747" t="s">
        <v>475</v>
      </c>
      <c r="D4" s="743" t="s">
        <v>355</v>
      </c>
      <c r="G4" s="649"/>
      <c r="H4" s="649"/>
    </row>
    <row r="5" spans="1:8" ht="22.5" customHeight="1">
      <c r="A5" s="55"/>
      <c r="B5" s="746"/>
      <c r="C5" s="748"/>
      <c r="D5" s="744"/>
      <c r="G5" s="649"/>
      <c r="H5" s="649"/>
    </row>
    <row r="6" spans="1:8" ht="20.25" customHeight="1">
      <c r="A6" s="549" t="s">
        <v>429</v>
      </c>
      <c r="B6" s="536"/>
      <c r="C6" s="536">
        <v>1</v>
      </c>
      <c r="D6" s="498">
        <f>B6*C6</f>
        <v>0</v>
      </c>
      <c r="G6" s="650"/>
      <c r="H6" s="649"/>
    </row>
    <row r="7" spans="1:8" s="8" customFormat="1" ht="22.5" customHeight="1">
      <c r="A7" s="550" t="s">
        <v>430</v>
      </c>
      <c r="B7" s="537">
        <v>200</v>
      </c>
      <c r="C7" s="538">
        <v>1</v>
      </c>
      <c r="D7" s="499">
        <f t="shared" ref="D7:D31" si="0">B7*C7</f>
        <v>200</v>
      </c>
      <c r="E7" s="558"/>
      <c r="F7" s="558"/>
      <c r="G7" s="558"/>
      <c r="H7" s="558"/>
    </row>
    <row r="8" spans="1:8" s="8" customFormat="1" ht="22.5" customHeight="1">
      <c r="A8" s="550" t="s">
        <v>431</v>
      </c>
      <c r="B8" s="537">
        <v>0</v>
      </c>
      <c r="C8" s="539">
        <v>1</v>
      </c>
      <c r="D8" s="499">
        <f t="shared" si="0"/>
        <v>0</v>
      </c>
      <c r="E8" s="558"/>
      <c r="F8" s="558"/>
      <c r="G8" s="558"/>
      <c r="H8" s="558"/>
    </row>
    <row r="9" spans="1:8" s="8" customFormat="1" ht="22.5" customHeight="1">
      <c r="A9" s="550" t="s">
        <v>517</v>
      </c>
      <c r="B9" s="537">
        <v>700</v>
      </c>
      <c r="C9" s="539">
        <v>1</v>
      </c>
      <c r="D9" s="499">
        <f t="shared" si="0"/>
        <v>700</v>
      </c>
      <c r="E9" s="558"/>
      <c r="F9" s="558"/>
      <c r="G9" s="558"/>
      <c r="H9" s="558"/>
    </row>
    <row r="10" spans="1:8" s="8" customFormat="1" ht="22.5" customHeight="1">
      <c r="A10" s="551" t="s">
        <v>493</v>
      </c>
      <c r="B10" s="540">
        <v>100</v>
      </c>
      <c r="C10" s="541">
        <v>1</v>
      </c>
      <c r="D10" s="499">
        <f t="shared" si="0"/>
        <v>100</v>
      </c>
      <c r="E10" s="558"/>
      <c r="F10" s="558"/>
      <c r="G10" s="558"/>
      <c r="H10" s="558"/>
    </row>
    <row r="11" spans="1:8" s="8" customFormat="1" ht="22.5" customHeight="1">
      <c r="A11" s="737" t="s">
        <v>506</v>
      </c>
      <c r="B11" s="738"/>
      <c r="C11" s="739"/>
      <c r="D11" s="528"/>
      <c r="E11" s="558"/>
      <c r="F11" s="558"/>
      <c r="G11" s="558"/>
      <c r="H11" s="558"/>
    </row>
    <row r="12" spans="1:8" s="8" customFormat="1" ht="22.5" customHeight="1">
      <c r="A12" s="549" t="s">
        <v>499</v>
      </c>
      <c r="B12" s="536">
        <v>300</v>
      </c>
      <c r="C12" s="542">
        <v>1</v>
      </c>
      <c r="D12" s="528">
        <f t="shared" si="0"/>
        <v>300</v>
      </c>
      <c r="E12" s="558"/>
      <c r="F12" s="558"/>
      <c r="G12" s="558"/>
      <c r="H12" s="558"/>
    </row>
    <row r="13" spans="1:8" s="8" customFormat="1" ht="22.5" customHeight="1">
      <c r="A13" s="550" t="s">
        <v>516</v>
      </c>
      <c r="B13" s="537">
        <v>400</v>
      </c>
      <c r="C13" s="543">
        <v>1</v>
      </c>
      <c r="D13" s="532">
        <f t="shared" si="0"/>
        <v>400</v>
      </c>
      <c r="E13" s="651"/>
      <c r="F13" s="558"/>
      <c r="G13" s="558"/>
      <c r="H13" s="558"/>
    </row>
    <row r="14" spans="1:8" s="8" customFormat="1" ht="22.5" customHeight="1">
      <c r="A14" s="550" t="s">
        <v>500</v>
      </c>
      <c r="B14" s="537"/>
      <c r="C14" s="543">
        <v>1</v>
      </c>
      <c r="D14" s="532">
        <f t="shared" si="0"/>
        <v>0</v>
      </c>
      <c r="E14" s="652"/>
      <c r="F14" s="558"/>
      <c r="G14" s="558"/>
      <c r="H14" s="558"/>
    </row>
    <row r="15" spans="1:8" s="8" customFormat="1" ht="22.5" customHeight="1">
      <c r="A15" s="552" t="s">
        <v>508</v>
      </c>
      <c r="B15" s="544"/>
      <c r="C15" s="545">
        <v>1</v>
      </c>
      <c r="D15" s="532">
        <f t="shared" si="0"/>
        <v>0</v>
      </c>
      <c r="E15" s="651"/>
      <c r="F15" s="558"/>
      <c r="G15" s="558"/>
      <c r="H15" s="558"/>
    </row>
    <row r="16" spans="1:8" s="8" customFormat="1" ht="22.5" customHeight="1">
      <c r="A16" s="553" t="s">
        <v>432</v>
      </c>
      <c r="B16" s="546"/>
      <c r="C16" s="547">
        <v>2</v>
      </c>
      <c r="D16" s="532">
        <f t="shared" si="0"/>
        <v>0</v>
      </c>
      <c r="E16" s="558"/>
      <c r="F16" s="558"/>
      <c r="G16" s="558"/>
      <c r="H16" s="558"/>
    </row>
    <row r="17" spans="1:8" s="8" customFormat="1" ht="22.5" customHeight="1">
      <c r="A17" s="550" t="s">
        <v>433</v>
      </c>
      <c r="B17" s="537"/>
      <c r="C17" s="547">
        <v>1</v>
      </c>
      <c r="D17" s="532">
        <f t="shared" si="0"/>
        <v>0</v>
      </c>
      <c r="E17" s="558"/>
      <c r="F17" s="558"/>
      <c r="G17" s="558"/>
      <c r="H17" s="558"/>
    </row>
    <row r="18" spans="1:8" s="8" customFormat="1" ht="22.5" customHeight="1">
      <c r="A18" s="550" t="s">
        <v>434</v>
      </c>
      <c r="B18" s="537"/>
      <c r="C18" s="547">
        <v>1</v>
      </c>
      <c r="D18" s="532">
        <f t="shared" si="0"/>
        <v>0</v>
      </c>
      <c r="E18" s="558"/>
      <c r="F18" s="558"/>
      <c r="G18" s="652"/>
      <c r="H18" s="558"/>
    </row>
    <row r="19" spans="1:8" s="8" customFormat="1" ht="22.5" customHeight="1">
      <c r="A19" s="553" t="s">
        <v>531</v>
      </c>
      <c r="B19" s="537">
        <v>360</v>
      </c>
      <c r="C19" s="547">
        <v>1</v>
      </c>
      <c r="D19" s="532">
        <f t="shared" si="0"/>
        <v>360</v>
      </c>
      <c r="E19" s="558"/>
      <c r="F19" s="558"/>
      <c r="G19" s="558"/>
      <c r="H19" s="558"/>
    </row>
    <row r="20" spans="1:8" s="8" customFormat="1" ht="22.5" customHeight="1">
      <c r="A20" s="550" t="s">
        <v>498</v>
      </c>
      <c r="B20" s="537"/>
      <c r="C20" s="547">
        <v>1</v>
      </c>
      <c r="D20" s="532">
        <f t="shared" si="0"/>
        <v>0</v>
      </c>
      <c r="E20" s="558"/>
      <c r="F20" s="558"/>
      <c r="G20" s="558"/>
      <c r="H20" s="558"/>
    </row>
    <row r="21" spans="1:8" s="8" customFormat="1" ht="22.5" customHeight="1">
      <c r="A21" s="550" t="s">
        <v>501</v>
      </c>
      <c r="B21" s="537">
        <v>15</v>
      </c>
      <c r="C21" s="547">
        <v>1</v>
      </c>
      <c r="D21" s="532">
        <f>B21*C21</f>
        <v>15</v>
      </c>
      <c r="E21" s="558"/>
      <c r="F21" s="558"/>
      <c r="G21" s="558"/>
      <c r="H21" s="558"/>
    </row>
    <row r="22" spans="1:8" s="8" customFormat="1" ht="22.5" customHeight="1">
      <c r="A22" s="551" t="s">
        <v>518</v>
      </c>
      <c r="B22" s="540"/>
      <c r="C22" s="547">
        <v>1</v>
      </c>
      <c r="D22" s="532">
        <f>B22*C22</f>
        <v>0</v>
      </c>
      <c r="E22" s="558"/>
      <c r="F22" s="558"/>
      <c r="G22" s="558"/>
      <c r="H22" s="558"/>
    </row>
    <row r="23" spans="1:8" s="8" customFormat="1" ht="22.5" customHeight="1">
      <c r="A23" s="551" t="s">
        <v>519</v>
      </c>
      <c r="B23" s="540"/>
      <c r="C23" s="547">
        <v>1</v>
      </c>
      <c r="D23" s="532">
        <f>B23*C23</f>
        <v>0</v>
      </c>
      <c r="E23" s="558"/>
      <c r="F23" s="558"/>
      <c r="G23" s="558"/>
      <c r="H23" s="558"/>
    </row>
    <row r="24" spans="1:8" s="8" customFormat="1" ht="22.5" customHeight="1">
      <c r="A24" s="551" t="s">
        <v>515</v>
      </c>
      <c r="B24" s="540"/>
      <c r="C24" s="547">
        <v>1</v>
      </c>
      <c r="D24" s="532">
        <f t="shared" si="0"/>
        <v>0</v>
      </c>
      <c r="E24" s="558"/>
      <c r="F24" s="558"/>
      <c r="G24" s="558"/>
      <c r="H24" s="558"/>
    </row>
    <row r="25" spans="1:8" s="8" customFormat="1" ht="22.5" customHeight="1">
      <c r="A25" s="737" t="s">
        <v>502</v>
      </c>
      <c r="B25" s="738"/>
      <c r="C25" s="739"/>
      <c r="D25" s="532"/>
      <c r="E25" s="558"/>
      <c r="F25" s="558"/>
      <c r="G25" s="558"/>
      <c r="H25" s="558"/>
    </row>
    <row r="26" spans="1:8" s="8" customFormat="1" ht="22.5" customHeight="1">
      <c r="A26" s="550" t="s">
        <v>503</v>
      </c>
      <c r="B26" s="537">
        <v>800</v>
      </c>
      <c r="C26" s="547">
        <v>1</v>
      </c>
      <c r="D26" s="532">
        <f t="shared" si="0"/>
        <v>800</v>
      </c>
      <c r="E26" s="558"/>
      <c r="F26" s="558"/>
      <c r="G26" s="558"/>
      <c r="H26" s="558"/>
    </row>
    <row r="27" spans="1:8" s="8" customFormat="1" ht="22.5" customHeight="1">
      <c r="A27" s="550" t="s">
        <v>504</v>
      </c>
      <c r="B27" s="537">
        <v>350</v>
      </c>
      <c r="C27" s="547">
        <v>1</v>
      </c>
      <c r="D27" s="532">
        <f t="shared" si="0"/>
        <v>350</v>
      </c>
      <c r="E27" s="558"/>
      <c r="F27" s="558"/>
      <c r="G27" s="558"/>
      <c r="H27" s="558"/>
    </row>
    <row r="28" spans="1:8" s="8" customFormat="1" ht="22.5" customHeight="1">
      <c r="A28" s="550" t="s">
        <v>505</v>
      </c>
      <c r="B28" s="537"/>
      <c r="C28" s="547">
        <v>1</v>
      </c>
      <c r="D28" s="532">
        <f t="shared" si="0"/>
        <v>0</v>
      </c>
      <c r="E28" s="558"/>
      <c r="F28" s="558"/>
      <c r="G28" s="558"/>
      <c r="H28" s="558"/>
    </row>
    <row r="29" spans="1:8" s="8" customFormat="1" ht="22.5" customHeight="1">
      <c r="A29" s="550" t="s">
        <v>507</v>
      </c>
      <c r="B29" s="537"/>
      <c r="C29" s="547">
        <v>1</v>
      </c>
      <c r="D29" s="532">
        <f t="shared" si="0"/>
        <v>0</v>
      </c>
      <c r="E29" s="558"/>
      <c r="F29" s="558"/>
      <c r="G29" s="558"/>
      <c r="H29" s="558"/>
    </row>
    <row r="30" spans="1:8" s="8" customFormat="1" ht="22.5" customHeight="1">
      <c r="A30" s="551" t="s">
        <v>514</v>
      </c>
      <c r="B30" s="540"/>
      <c r="C30" s="537">
        <v>1</v>
      </c>
      <c r="D30" s="532">
        <f t="shared" si="0"/>
        <v>0</v>
      </c>
      <c r="E30" s="558"/>
      <c r="F30" s="558"/>
      <c r="G30" s="558"/>
      <c r="H30" s="558"/>
    </row>
    <row r="31" spans="1:8" s="8" customFormat="1" ht="22.5" customHeight="1">
      <c r="A31" s="551" t="s">
        <v>509</v>
      </c>
      <c r="B31" s="540"/>
      <c r="C31" s="548">
        <v>1</v>
      </c>
      <c r="D31" s="532">
        <f t="shared" si="0"/>
        <v>0</v>
      </c>
      <c r="E31" s="558"/>
      <c r="F31" s="558"/>
      <c r="G31" s="558"/>
      <c r="H31" s="558"/>
    </row>
    <row r="32" spans="1:8" s="8" customFormat="1" ht="22.5" customHeight="1">
      <c r="A32" s="529" t="s">
        <v>22</v>
      </c>
      <c r="B32" s="530"/>
      <c r="C32" s="530"/>
      <c r="D32" s="531">
        <f>SUM(D6:D31)</f>
        <v>3225</v>
      </c>
      <c r="E32" s="558"/>
      <c r="F32" s="558"/>
      <c r="G32" s="558"/>
      <c r="H32" s="558"/>
    </row>
    <row r="33" spans="1:6" s="8" customFormat="1" ht="22.5" customHeight="1">
      <c r="A33" s="55" t="s">
        <v>476</v>
      </c>
      <c r="B33" s="56"/>
      <c r="C33" s="55"/>
      <c r="D33" s="55"/>
      <c r="E33" s="558"/>
      <c r="F33" s="558"/>
    </row>
    <row r="34" spans="1:6" s="8" customFormat="1" ht="22.5" customHeight="1">
      <c r="A34" s="55"/>
      <c r="B34" s="56"/>
      <c r="C34" s="55"/>
      <c r="D34" s="55"/>
      <c r="E34" s="558"/>
      <c r="F34" s="558"/>
    </row>
    <row r="35" spans="1:6" s="8" customFormat="1" ht="22.5" customHeight="1">
      <c r="A35" s="55"/>
      <c r="B35" s="56"/>
      <c r="C35" s="55"/>
      <c r="D35" s="55"/>
      <c r="E35" s="558"/>
      <c r="F35" s="558"/>
    </row>
    <row r="36" spans="1:6" s="8" customFormat="1" ht="22.5" customHeight="1">
      <c r="A36" s="55"/>
      <c r="B36" s="39"/>
      <c r="E36" s="558"/>
      <c r="F36" s="558"/>
    </row>
    <row r="37" spans="1:6" s="8" customFormat="1" ht="22.5" customHeight="1">
      <c r="B37" s="39"/>
      <c r="E37" s="558"/>
      <c r="F37" s="558"/>
    </row>
    <row r="38" spans="1:6" s="8" customFormat="1" ht="22.5" customHeight="1">
      <c r="B38" s="39"/>
      <c r="E38" s="558"/>
      <c r="F38" s="558"/>
    </row>
    <row r="39" spans="1:6" s="8" customFormat="1" ht="22.5" customHeight="1">
      <c r="B39" s="39"/>
      <c r="E39" s="558"/>
      <c r="F39" s="558"/>
    </row>
    <row r="40" spans="1:6" s="8" customFormat="1" ht="22.5" customHeight="1">
      <c r="B40" s="39"/>
      <c r="E40" s="558"/>
      <c r="F40" s="558"/>
    </row>
    <row r="41" spans="1:6" s="8" customFormat="1" ht="22.5" customHeight="1">
      <c r="B41" s="39"/>
      <c r="E41" s="558"/>
      <c r="F41" s="558"/>
    </row>
    <row r="42" spans="1:6" s="8" customFormat="1" ht="22.5" customHeight="1">
      <c r="B42" s="39"/>
      <c r="E42" s="558"/>
      <c r="F42" s="558"/>
    </row>
    <row r="43" spans="1:6" s="8" customFormat="1" ht="22.5" customHeight="1">
      <c r="B43" s="39"/>
      <c r="E43" s="558"/>
      <c r="F43" s="558"/>
    </row>
    <row r="44" spans="1:6" s="8" customFormat="1" ht="22.5" customHeight="1">
      <c r="B44" s="39"/>
      <c r="E44" s="558"/>
      <c r="F44" s="558"/>
    </row>
    <row r="45" spans="1:6" s="8" customFormat="1" ht="22.5" customHeight="1">
      <c r="B45" s="39"/>
      <c r="E45" s="558"/>
      <c r="F45" s="558"/>
    </row>
    <row r="46" spans="1:6" s="8" customFormat="1" ht="22.5" customHeight="1">
      <c r="B46" s="39"/>
      <c r="E46" s="558"/>
      <c r="F46" s="558"/>
    </row>
    <row r="47" spans="1:6" s="8" customFormat="1" ht="22.5" customHeight="1">
      <c r="B47" s="39"/>
      <c r="E47" s="558"/>
      <c r="F47" s="558"/>
    </row>
    <row r="48" spans="1:6" s="8" customFormat="1" ht="22.5" customHeight="1">
      <c r="B48" s="39"/>
      <c r="E48" s="558"/>
      <c r="F48" s="558"/>
    </row>
    <row r="49" spans="2:6" s="8" customFormat="1" ht="22.5" customHeight="1">
      <c r="B49" s="39"/>
      <c r="E49" s="558"/>
      <c r="F49" s="558"/>
    </row>
    <row r="50" spans="2:6" s="8" customFormat="1" ht="22.5" customHeight="1">
      <c r="B50" s="39"/>
      <c r="E50" s="558"/>
      <c r="F50" s="558"/>
    </row>
    <row r="51" spans="2:6" s="8" customFormat="1" ht="22.5" customHeight="1">
      <c r="B51" s="39"/>
      <c r="E51" s="558"/>
      <c r="F51" s="558"/>
    </row>
    <row r="52" spans="2:6" s="8" customFormat="1" ht="22.5" customHeight="1">
      <c r="B52" s="39"/>
      <c r="E52" s="558"/>
      <c r="F52" s="558"/>
    </row>
    <row r="53" spans="2:6" s="8" customFormat="1" ht="22.5" customHeight="1">
      <c r="B53" s="39"/>
      <c r="E53" s="558"/>
      <c r="F53" s="558"/>
    </row>
    <row r="54" spans="2:6" s="8" customFormat="1" ht="22.5" customHeight="1">
      <c r="B54" s="39"/>
      <c r="E54" s="558"/>
      <c r="F54" s="558"/>
    </row>
    <row r="55" spans="2:6" s="8" customFormat="1" ht="22.5" customHeight="1">
      <c r="B55" s="39"/>
      <c r="E55" s="558"/>
      <c r="F55" s="558"/>
    </row>
    <row r="56" spans="2:6" s="8" customFormat="1" ht="22.5" customHeight="1">
      <c r="B56" s="39"/>
      <c r="E56" s="558"/>
      <c r="F56" s="558"/>
    </row>
    <row r="57" spans="2:6" s="8" customFormat="1" ht="22.5" customHeight="1">
      <c r="B57" s="39"/>
      <c r="E57" s="558"/>
      <c r="F57" s="558"/>
    </row>
    <row r="58" spans="2:6" s="8" customFormat="1" ht="22.5" customHeight="1">
      <c r="B58" s="39"/>
      <c r="E58" s="558"/>
      <c r="F58" s="558"/>
    </row>
    <row r="59" spans="2:6" s="8" customFormat="1" ht="22.5" customHeight="1">
      <c r="B59" s="39"/>
      <c r="E59" s="558"/>
      <c r="F59" s="558"/>
    </row>
    <row r="60" spans="2:6" s="8" customFormat="1" ht="22.5" customHeight="1">
      <c r="B60" s="39"/>
      <c r="E60" s="558"/>
      <c r="F60" s="558"/>
    </row>
    <row r="61" spans="2:6" s="8" customFormat="1" ht="22.5" customHeight="1">
      <c r="B61" s="39"/>
      <c r="E61" s="558"/>
      <c r="F61" s="558"/>
    </row>
    <row r="62" spans="2:6" s="8" customFormat="1" ht="22.5" customHeight="1">
      <c r="B62" s="39"/>
      <c r="E62" s="558"/>
      <c r="F62" s="558"/>
    </row>
    <row r="63" spans="2:6" s="8" customFormat="1" ht="22.5" customHeight="1">
      <c r="B63" s="39"/>
      <c r="E63" s="558"/>
      <c r="F63" s="558"/>
    </row>
    <row r="64" spans="2:6" s="8" customFormat="1" ht="22.5" customHeight="1">
      <c r="B64" s="39"/>
      <c r="E64" s="558"/>
      <c r="F64" s="558"/>
    </row>
    <row r="65" spans="2:6" s="8" customFormat="1" ht="22.5" customHeight="1">
      <c r="B65" s="39"/>
      <c r="E65" s="558"/>
      <c r="F65" s="558"/>
    </row>
    <row r="66" spans="2:6" s="8" customFormat="1" ht="22.5" customHeight="1">
      <c r="B66" s="39"/>
      <c r="E66" s="558"/>
      <c r="F66" s="558"/>
    </row>
    <row r="67" spans="2:6" s="8" customFormat="1" ht="22.5" customHeight="1">
      <c r="B67" s="39"/>
      <c r="E67" s="558"/>
      <c r="F67" s="558"/>
    </row>
    <row r="68" spans="2:6" s="8" customFormat="1" ht="22.5" customHeight="1">
      <c r="B68" s="39"/>
      <c r="E68" s="558"/>
      <c r="F68" s="558"/>
    </row>
    <row r="69" spans="2:6" s="8" customFormat="1" ht="22.5" customHeight="1">
      <c r="B69" s="39"/>
      <c r="E69" s="558"/>
      <c r="F69" s="558"/>
    </row>
    <row r="70" spans="2:6" s="8" customFormat="1" ht="22.5" customHeight="1">
      <c r="B70" s="39"/>
      <c r="E70" s="558"/>
      <c r="F70" s="558"/>
    </row>
    <row r="71" spans="2:6" s="8" customFormat="1" ht="22.5" customHeight="1">
      <c r="B71" s="39"/>
      <c r="E71" s="558"/>
      <c r="F71" s="558"/>
    </row>
    <row r="72" spans="2:6" s="8" customFormat="1" ht="22.5" customHeight="1">
      <c r="B72" s="39"/>
      <c r="E72" s="558"/>
      <c r="F72" s="558"/>
    </row>
    <row r="73" spans="2:6" s="8" customFormat="1" ht="22.5" customHeight="1">
      <c r="B73" s="39"/>
      <c r="E73" s="558"/>
      <c r="F73" s="558"/>
    </row>
    <row r="74" spans="2:6" s="8" customFormat="1" ht="22.5" customHeight="1">
      <c r="B74" s="39"/>
      <c r="E74" s="558"/>
      <c r="F74" s="558"/>
    </row>
    <row r="75" spans="2:6" s="8" customFormat="1" ht="22.5" customHeight="1">
      <c r="B75" s="39"/>
      <c r="E75" s="558"/>
      <c r="F75" s="558"/>
    </row>
    <row r="76" spans="2:6" s="8" customFormat="1" ht="22.5" customHeight="1">
      <c r="B76" s="39"/>
      <c r="E76" s="558"/>
      <c r="F76" s="558"/>
    </row>
    <row r="77" spans="2:6" s="8" customFormat="1" ht="22.5" customHeight="1">
      <c r="B77" s="39"/>
      <c r="E77" s="558"/>
      <c r="F77" s="558"/>
    </row>
    <row r="78" spans="2:6" s="8" customFormat="1" ht="22.5" customHeight="1">
      <c r="B78" s="39"/>
      <c r="E78" s="558"/>
      <c r="F78" s="558"/>
    </row>
    <row r="79" spans="2:6" s="8" customFormat="1" ht="22.5" customHeight="1">
      <c r="B79" s="39"/>
      <c r="E79" s="558"/>
      <c r="F79" s="558"/>
    </row>
    <row r="80" spans="2:6" s="8" customFormat="1" ht="22.5" customHeight="1">
      <c r="B80" s="39"/>
      <c r="E80" s="558"/>
      <c r="F80" s="558"/>
    </row>
    <row r="81" spans="2:6" s="8" customFormat="1" ht="22.5" customHeight="1">
      <c r="B81" s="39"/>
      <c r="E81" s="558"/>
      <c r="F81" s="558"/>
    </row>
    <row r="82" spans="2:6" s="8" customFormat="1" ht="22.5" customHeight="1">
      <c r="B82" s="39"/>
      <c r="E82" s="558"/>
      <c r="F82" s="558"/>
    </row>
    <row r="83" spans="2:6" s="8" customFormat="1" ht="22.5" customHeight="1">
      <c r="B83" s="39"/>
      <c r="E83" s="558"/>
      <c r="F83" s="558"/>
    </row>
    <row r="84" spans="2:6" s="8" customFormat="1" ht="22.5" customHeight="1">
      <c r="B84" s="39"/>
      <c r="E84" s="558"/>
      <c r="F84" s="558"/>
    </row>
    <row r="85" spans="2:6" s="8" customFormat="1" ht="22.5" customHeight="1">
      <c r="B85" s="39"/>
      <c r="E85" s="558"/>
      <c r="F85" s="558"/>
    </row>
    <row r="86" spans="2:6" s="8" customFormat="1" ht="22.5" customHeight="1">
      <c r="B86" s="39"/>
      <c r="E86" s="558"/>
      <c r="F86" s="558"/>
    </row>
    <row r="87" spans="2:6" s="8" customFormat="1" ht="22.5" customHeight="1">
      <c r="B87" s="39"/>
      <c r="E87" s="558"/>
      <c r="F87" s="558"/>
    </row>
    <row r="88" spans="2:6" s="8" customFormat="1" ht="22.5" customHeight="1">
      <c r="B88" s="39"/>
      <c r="E88" s="558"/>
      <c r="F88" s="558"/>
    </row>
    <row r="89" spans="2:6" s="8" customFormat="1" ht="22.5" customHeight="1">
      <c r="B89" s="39"/>
      <c r="E89" s="558"/>
      <c r="F89" s="558"/>
    </row>
    <row r="90" spans="2:6" s="8" customFormat="1" ht="22.5" customHeight="1">
      <c r="B90" s="39"/>
      <c r="E90" s="558"/>
      <c r="F90" s="558"/>
    </row>
    <row r="91" spans="2:6" s="8" customFormat="1" ht="22.5" customHeight="1">
      <c r="B91" s="39"/>
      <c r="E91" s="558"/>
      <c r="F91" s="558"/>
    </row>
    <row r="92" spans="2:6" s="8" customFormat="1" ht="22.5" customHeight="1">
      <c r="B92" s="39"/>
      <c r="E92" s="558"/>
      <c r="F92" s="558"/>
    </row>
    <row r="93" spans="2:6" s="8" customFormat="1" ht="22.5" customHeight="1">
      <c r="B93" s="39"/>
      <c r="E93" s="558"/>
      <c r="F93" s="558"/>
    </row>
    <row r="94" spans="2:6" s="8" customFormat="1" ht="22.5" customHeight="1">
      <c r="B94" s="39"/>
      <c r="E94" s="558"/>
      <c r="F94" s="558"/>
    </row>
    <row r="95" spans="2:6" s="8" customFormat="1" ht="22.5" customHeight="1">
      <c r="B95" s="39"/>
      <c r="E95" s="558"/>
      <c r="F95" s="558"/>
    </row>
    <row r="96" spans="2:6" s="8" customFormat="1" ht="22.5" customHeight="1">
      <c r="B96" s="39"/>
      <c r="E96" s="558"/>
      <c r="F96" s="558"/>
    </row>
    <row r="97" spans="2:6" s="8" customFormat="1" ht="22.5" customHeight="1">
      <c r="B97" s="39"/>
      <c r="E97" s="558"/>
      <c r="F97" s="558"/>
    </row>
    <row r="98" spans="2:6" s="8" customFormat="1" ht="22.5" customHeight="1">
      <c r="B98" s="39"/>
      <c r="E98" s="558"/>
      <c r="F98" s="558"/>
    </row>
    <row r="99" spans="2:6" s="8" customFormat="1" ht="22.5" customHeight="1">
      <c r="B99" s="39"/>
      <c r="E99" s="558"/>
      <c r="F99" s="558"/>
    </row>
    <row r="100" spans="2:6" s="8" customFormat="1" ht="22.5" customHeight="1">
      <c r="B100" s="39"/>
      <c r="E100" s="558"/>
      <c r="F100" s="558"/>
    </row>
    <row r="101" spans="2:6" s="8" customFormat="1" ht="22.5" customHeight="1">
      <c r="B101" s="39"/>
      <c r="E101" s="558"/>
      <c r="F101" s="558"/>
    </row>
    <row r="102" spans="2:6" s="8" customFormat="1" ht="22.5" customHeight="1">
      <c r="B102" s="39"/>
      <c r="E102" s="558"/>
      <c r="F102" s="558"/>
    </row>
    <row r="103" spans="2:6" s="8" customFormat="1" ht="22.5" customHeight="1">
      <c r="B103" s="39"/>
      <c r="E103" s="558"/>
      <c r="F103" s="558"/>
    </row>
    <row r="104" spans="2:6" s="8" customFormat="1" ht="22.5" customHeight="1">
      <c r="B104" s="39"/>
      <c r="E104" s="558"/>
      <c r="F104" s="558"/>
    </row>
    <row r="105" spans="2:6" s="8" customFormat="1" ht="22.5" customHeight="1">
      <c r="B105" s="39"/>
      <c r="E105" s="558"/>
      <c r="F105" s="558"/>
    </row>
    <row r="106" spans="2:6" s="8" customFormat="1" ht="22.5" customHeight="1">
      <c r="B106" s="39"/>
      <c r="E106" s="558"/>
      <c r="F106" s="558"/>
    </row>
    <row r="107" spans="2:6" s="8" customFormat="1" ht="22.5" customHeight="1">
      <c r="B107" s="39"/>
      <c r="E107" s="558"/>
      <c r="F107" s="558"/>
    </row>
    <row r="108" spans="2:6" s="8" customFormat="1" ht="22.5" customHeight="1">
      <c r="B108" s="39"/>
      <c r="E108" s="558"/>
      <c r="F108" s="558"/>
    </row>
    <row r="109" spans="2:6" s="8" customFormat="1" ht="22.5" customHeight="1">
      <c r="B109" s="39"/>
      <c r="E109" s="558"/>
      <c r="F109" s="558"/>
    </row>
    <row r="110" spans="2:6" s="8" customFormat="1" ht="22.5" customHeight="1">
      <c r="B110" s="39"/>
      <c r="E110" s="558"/>
      <c r="F110" s="558"/>
    </row>
    <row r="111" spans="2:6" s="8" customFormat="1" ht="22.5" customHeight="1">
      <c r="B111" s="39"/>
      <c r="E111" s="558"/>
      <c r="F111" s="558"/>
    </row>
    <row r="112" spans="2:6" s="8" customFormat="1" ht="22.5" customHeight="1">
      <c r="B112" s="39"/>
      <c r="E112" s="558"/>
      <c r="F112" s="558"/>
    </row>
    <row r="113" spans="2:6" s="8" customFormat="1" ht="22.5" customHeight="1">
      <c r="B113" s="39"/>
      <c r="E113" s="558"/>
      <c r="F113" s="558"/>
    </row>
    <row r="114" spans="2:6" s="8" customFormat="1" ht="22.5" customHeight="1">
      <c r="B114" s="39"/>
      <c r="E114" s="558"/>
      <c r="F114" s="558"/>
    </row>
    <row r="115" spans="2:6" s="8" customFormat="1" ht="22.5" customHeight="1">
      <c r="B115" s="39"/>
      <c r="E115" s="558"/>
      <c r="F115" s="558"/>
    </row>
    <row r="116" spans="2:6" s="8" customFormat="1" ht="22.5" customHeight="1">
      <c r="B116" s="39"/>
      <c r="E116" s="558"/>
      <c r="F116" s="558"/>
    </row>
    <row r="117" spans="2:6" s="8" customFormat="1" ht="22.5" customHeight="1">
      <c r="B117" s="39"/>
      <c r="E117" s="558"/>
      <c r="F117" s="558"/>
    </row>
    <row r="118" spans="2:6" s="8" customFormat="1" ht="22.5" customHeight="1">
      <c r="B118" s="39"/>
      <c r="E118" s="558"/>
      <c r="F118" s="558"/>
    </row>
    <row r="119" spans="2:6" s="8" customFormat="1" ht="22.5" customHeight="1">
      <c r="B119" s="39"/>
      <c r="E119" s="558"/>
      <c r="F119" s="558"/>
    </row>
    <row r="120" spans="2:6" s="8" customFormat="1" ht="22.5" customHeight="1">
      <c r="B120" s="39"/>
      <c r="E120" s="558"/>
      <c r="F120" s="558"/>
    </row>
    <row r="121" spans="2:6" s="8" customFormat="1" ht="22.5" customHeight="1">
      <c r="B121" s="39"/>
      <c r="E121" s="558"/>
      <c r="F121" s="558"/>
    </row>
    <row r="122" spans="2:6" s="8" customFormat="1" ht="22.5" customHeight="1">
      <c r="B122" s="39"/>
      <c r="E122" s="558"/>
      <c r="F122" s="558"/>
    </row>
    <row r="123" spans="2:6" s="8" customFormat="1" ht="22.5" customHeight="1">
      <c r="B123" s="39"/>
      <c r="E123" s="558"/>
      <c r="F123" s="558"/>
    </row>
    <row r="124" spans="2:6" s="8" customFormat="1" ht="22.5" customHeight="1">
      <c r="B124" s="39"/>
      <c r="E124" s="558"/>
      <c r="F124" s="558"/>
    </row>
    <row r="125" spans="2:6" s="8" customFormat="1" ht="22.5" customHeight="1">
      <c r="B125" s="39"/>
      <c r="E125" s="558"/>
      <c r="F125" s="558"/>
    </row>
    <row r="126" spans="2:6" s="8" customFormat="1" ht="22.5" customHeight="1">
      <c r="B126" s="39"/>
      <c r="E126" s="558"/>
      <c r="F126" s="558"/>
    </row>
    <row r="127" spans="2:6" s="8" customFormat="1" ht="22.5" customHeight="1">
      <c r="B127" s="39"/>
      <c r="E127" s="558"/>
      <c r="F127" s="558"/>
    </row>
    <row r="128" spans="2:6" s="8" customFormat="1" ht="22.5" customHeight="1">
      <c r="B128" s="39"/>
      <c r="E128" s="558"/>
      <c r="F128" s="558"/>
    </row>
    <row r="129" spans="2:6" s="8" customFormat="1" ht="22.5" customHeight="1">
      <c r="B129" s="39"/>
      <c r="E129" s="558"/>
      <c r="F129" s="558"/>
    </row>
    <row r="130" spans="2:6" s="8" customFormat="1" ht="22.5" customHeight="1">
      <c r="B130" s="39"/>
      <c r="E130" s="558"/>
      <c r="F130" s="558"/>
    </row>
    <row r="131" spans="2:6" s="8" customFormat="1" ht="22.5" customHeight="1">
      <c r="B131" s="39"/>
      <c r="E131" s="558"/>
      <c r="F131" s="558"/>
    </row>
    <row r="132" spans="2:6" s="8" customFormat="1" ht="22.5" customHeight="1">
      <c r="B132" s="39"/>
      <c r="E132" s="558"/>
      <c r="F132" s="558"/>
    </row>
    <row r="133" spans="2:6" s="8" customFormat="1" ht="22.5" customHeight="1">
      <c r="B133" s="39"/>
      <c r="E133" s="558"/>
      <c r="F133" s="558"/>
    </row>
    <row r="134" spans="2:6" s="8" customFormat="1" ht="22.5" customHeight="1">
      <c r="B134" s="39"/>
      <c r="E134" s="558"/>
      <c r="F134" s="558"/>
    </row>
    <row r="135" spans="2:6" s="8" customFormat="1" ht="22.5" customHeight="1">
      <c r="B135" s="39"/>
      <c r="E135" s="558"/>
      <c r="F135" s="558"/>
    </row>
    <row r="136" spans="2:6" s="8" customFormat="1" ht="22.5" customHeight="1">
      <c r="B136" s="39"/>
      <c r="E136" s="558"/>
      <c r="F136" s="558"/>
    </row>
    <row r="137" spans="2:6" s="8" customFormat="1" ht="22.5" customHeight="1">
      <c r="B137" s="39"/>
      <c r="E137" s="558"/>
      <c r="F137" s="558"/>
    </row>
    <row r="138" spans="2:6" s="8" customFormat="1" ht="22.5" customHeight="1">
      <c r="B138" s="39"/>
      <c r="E138" s="558"/>
      <c r="F138" s="558"/>
    </row>
    <row r="139" spans="2:6" s="8" customFormat="1" ht="22.5" customHeight="1">
      <c r="B139" s="39"/>
      <c r="E139" s="558"/>
      <c r="F139" s="558"/>
    </row>
    <row r="140" spans="2:6" s="8" customFormat="1" ht="22.5" customHeight="1">
      <c r="B140" s="39"/>
      <c r="E140" s="558"/>
      <c r="F140" s="558"/>
    </row>
    <row r="141" spans="2:6" s="8" customFormat="1" ht="22.5" customHeight="1">
      <c r="B141" s="39"/>
      <c r="E141" s="558"/>
      <c r="F141" s="558"/>
    </row>
    <row r="142" spans="2:6" s="8" customFormat="1" ht="22.5" customHeight="1">
      <c r="B142" s="39"/>
      <c r="E142" s="558"/>
      <c r="F142" s="558"/>
    </row>
    <row r="143" spans="2:6" s="8" customFormat="1" ht="22.5" customHeight="1">
      <c r="B143" s="39"/>
      <c r="E143" s="558"/>
      <c r="F143" s="558"/>
    </row>
    <row r="144" spans="2:6" s="8" customFormat="1" ht="22.5" customHeight="1">
      <c r="B144" s="39"/>
      <c r="E144" s="558"/>
      <c r="F144" s="558"/>
    </row>
    <row r="145" spans="2:6" s="8" customFormat="1" ht="22.5" customHeight="1">
      <c r="B145" s="39"/>
      <c r="E145" s="558"/>
      <c r="F145" s="558"/>
    </row>
    <row r="146" spans="2:6" s="8" customFormat="1" ht="22.5" customHeight="1">
      <c r="B146" s="39"/>
      <c r="E146" s="558"/>
      <c r="F146" s="558"/>
    </row>
    <row r="147" spans="2:6" s="8" customFormat="1" ht="22.5" customHeight="1">
      <c r="B147" s="39"/>
      <c r="E147" s="558"/>
      <c r="F147" s="558"/>
    </row>
    <row r="148" spans="2:6" s="8" customFormat="1" ht="22.5" customHeight="1">
      <c r="B148" s="39"/>
      <c r="E148" s="558"/>
      <c r="F148" s="558"/>
    </row>
    <row r="149" spans="2:6" s="8" customFormat="1" ht="22.5" customHeight="1">
      <c r="B149" s="39"/>
      <c r="E149" s="558"/>
      <c r="F149" s="558"/>
    </row>
    <row r="150" spans="2:6" s="8" customFormat="1" ht="22.5" customHeight="1">
      <c r="B150" s="39"/>
      <c r="E150" s="558"/>
      <c r="F150" s="558"/>
    </row>
    <row r="151" spans="2:6" s="8" customFormat="1" ht="22.5" customHeight="1">
      <c r="B151" s="39"/>
      <c r="E151" s="558"/>
      <c r="F151" s="558"/>
    </row>
    <row r="152" spans="2:6" s="8" customFormat="1" ht="22.5" customHeight="1">
      <c r="B152" s="39"/>
      <c r="E152" s="558"/>
      <c r="F152" s="558"/>
    </row>
    <row r="153" spans="2:6" s="8" customFormat="1" ht="22.5" customHeight="1">
      <c r="B153" s="39"/>
      <c r="E153" s="558"/>
      <c r="F153" s="558"/>
    </row>
    <row r="154" spans="2:6" s="8" customFormat="1" ht="22.5" customHeight="1">
      <c r="B154" s="39"/>
      <c r="E154" s="558"/>
      <c r="F154" s="558"/>
    </row>
    <row r="155" spans="2:6" s="8" customFormat="1" ht="22.5" customHeight="1">
      <c r="B155" s="39"/>
      <c r="E155" s="558"/>
      <c r="F155" s="558"/>
    </row>
    <row r="156" spans="2:6" s="8" customFormat="1" ht="22.5" customHeight="1">
      <c r="B156" s="39"/>
      <c r="E156" s="558"/>
      <c r="F156" s="558"/>
    </row>
    <row r="157" spans="2:6" s="8" customFormat="1" ht="22.5" customHeight="1">
      <c r="B157" s="39"/>
      <c r="E157" s="558"/>
      <c r="F157" s="558"/>
    </row>
    <row r="158" spans="2:6" s="8" customFormat="1" ht="22.5" customHeight="1">
      <c r="B158" s="39"/>
      <c r="E158" s="558"/>
      <c r="F158" s="558"/>
    </row>
    <row r="159" spans="2:6" s="8" customFormat="1" ht="22.5" customHeight="1">
      <c r="B159" s="39"/>
      <c r="E159" s="558"/>
      <c r="F159" s="558"/>
    </row>
    <row r="160" spans="2:6" s="8" customFormat="1" ht="22.5" customHeight="1">
      <c r="B160" s="39"/>
      <c r="E160" s="558"/>
      <c r="F160" s="558"/>
    </row>
    <row r="161" spans="2:6" s="8" customFormat="1" ht="22.5" customHeight="1">
      <c r="B161" s="39"/>
      <c r="E161" s="558"/>
      <c r="F161" s="558"/>
    </row>
    <row r="162" spans="2:6" s="8" customFormat="1" ht="22.5" customHeight="1">
      <c r="B162" s="39"/>
      <c r="E162" s="558"/>
      <c r="F162" s="558"/>
    </row>
    <row r="163" spans="2:6" s="8" customFormat="1" ht="22.5" customHeight="1">
      <c r="B163" s="39"/>
      <c r="E163" s="558"/>
      <c r="F163" s="558"/>
    </row>
    <row r="164" spans="2:6" s="8" customFormat="1" ht="22.5" customHeight="1">
      <c r="B164" s="39"/>
      <c r="E164" s="558"/>
      <c r="F164" s="558"/>
    </row>
    <row r="165" spans="2:6" s="8" customFormat="1" ht="22.5" customHeight="1">
      <c r="B165" s="39"/>
      <c r="E165" s="558"/>
      <c r="F165" s="558"/>
    </row>
    <row r="166" spans="2:6" s="8" customFormat="1" ht="22.5" customHeight="1">
      <c r="B166" s="39"/>
      <c r="E166" s="558"/>
      <c r="F166" s="558"/>
    </row>
    <row r="167" spans="2:6" s="8" customFormat="1" ht="22.5" customHeight="1">
      <c r="B167" s="39"/>
      <c r="E167" s="558"/>
      <c r="F167" s="558"/>
    </row>
    <row r="168" spans="2:6" s="8" customFormat="1" ht="22.5" customHeight="1">
      <c r="B168" s="39"/>
      <c r="E168" s="558"/>
      <c r="F168" s="558"/>
    </row>
    <row r="169" spans="2:6" s="8" customFormat="1" ht="22.5" customHeight="1">
      <c r="B169" s="39"/>
      <c r="E169" s="558"/>
      <c r="F169" s="558"/>
    </row>
    <row r="170" spans="2:6" s="8" customFormat="1" ht="22.5" customHeight="1">
      <c r="B170" s="39"/>
      <c r="E170" s="558"/>
      <c r="F170" s="558"/>
    </row>
    <row r="171" spans="2:6" s="8" customFormat="1" ht="22.5" customHeight="1">
      <c r="B171" s="39"/>
      <c r="E171" s="558"/>
      <c r="F171" s="558"/>
    </row>
    <row r="172" spans="2:6" s="8" customFormat="1" ht="22.5" customHeight="1">
      <c r="B172" s="39"/>
      <c r="E172" s="558"/>
      <c r="F172" s="558"/>
    </row>
    <row r="173" spans="2:6" s="8" customFormat="1" ht="22.5" customHeight="1">
      <c r="B173" s="39"/>
      <c r="E173" s="558"/>
      <c r="F173" s="558"/>
    </row>
    <row r="174" spans="2:6" s="8" customFormat="1" ht="22.5" customHeight="1">
      <c r="B174" s="39"/>
      <c r="E174" s="558"/>
      <c r="F174" s="558"/>
    </row>
    <row r="175" spans="2:6" s="8" customFormat="1" ht="22.5" customHeight="1">
      <c r="B175" s="39"/>
      <c r="E175" s="558"/>
      <c r="F175" s="558"/>
    </row>
    <row r="176" spans="2:6" s="8" customFormat="1" ht="22.5" customHeight="1">
      <c r="B176" s="39"/>
      <c r="E176" s="558"/>
      <c r="F176" s="558"/>
    </row>
    <row r="177" spans="2:6" s="8" customFormat="1" ht="22.5" customHeight="1">
      <c r="B177" s="39"/>
      <c r="E177" s="558"/>
      <c r="F177" s="558"/>
    </row>
    <row r="178" spans="2:6" s="8" customFormat="1" ht="22.5" customHeight="1">
      <c r="B178" s="39"/>
      <c r="E178" s="558"/>
      <c r="F178" s="558"/>
    </row>
    <row r="179" spans="2:6" s="8" customFormat="1" ht="22.5" customHeight="1">
      <c r="B179" s="39"/>
      <c r="E179" s="558"/>
      <c r="F179" s="558"/>
    </row>
    <row r="180" spans="2:6" s="8" customFormat="1" ht="22.5" customHeight="1">
      <c r="B180" s="39"/>
      <c r="E180" s="558"/>
      <c r="F180" s="558"/>
    </row>
    <row r="181" spans="2:6" s="8" customFormat="1" ht="22.5" customHeight="1">
      <c r="B181" s="39"/>
      <c r="E181" s="558"/>
      <c r="F181" s="558"/>
    </row>
    <row r="182" spans="2:6" s="8" customFormat="1" ht="22.5" customHeight="1">
      <c r="B182" s="39"/>
      <c r="E182" s="558"/>
      <c r="F182" s="558"/>
    </row>
    <row r="183" spans="2:6" s="8" customFormat="1" ht="22.5" customHeight="1">
      <c r="B183" s="39"/>
      <c r="E183" s="558"/>
      <c r="F183" s="558"/>
    </row>
    <row r="184" spans="2:6" s="8" customFormat="1" ht="22.5" customHeight="1">
      <c r="B184" s="39"/>
      <c r="E184" s="558"/>
      <c r="F184" s="558"/>
    </row>
    <row r="185" spans="2:6" s="8" customFormat="1" ht="22.5" customHeight="1">
      <c r="B185" s="39"/>
      <c r="E185" s="558"/>
      <c r="F185" s="558"/>
    </row>
    <row r="186" spans="2:6" s="8" customFormat="1" ht="22.5" customHeight="1">
      <c r="B186" s="39"/>
      <c r="E186" s="558"/>
      <c r="F186" s="558"/>
    </row>
    <row r="187" spans="2:6" s="8" customFormat="1" ht="22.5" customHeight="1">
      <c r="B187" s="39"/>
      <c r="E187" s="558"/>
      <c r="F187" s="558"/>
    </row>
    <row r="188" spans="2:6" s="8" customFormat="1">
      <c r="B188" s="39"/>
      <c r="E188" s="558"/>
      <c r="F188" s="558"/>
    </row>
    <row r="189" spans="2:6" s="8" customFormat="1">
      <c r="B189" s="39"/>
      <c r="E189" s="558"/>
      <c r="F189" s="558"/>
    </row>
    <row r="190" spans="2:6" s="8" customFormat="1">
      <c r="B190" s="39"/>
      <c r="E190" s="558"/>
      <c r="F190" s="558"/>
    </row>
    <row r="191" spans="2:6" s="8" customFormat="1">
      <c r="B191" s="39"/>
      <c r="E191" s="558"/>
      <c r="F191" s="558"/>
    </row>
    <row r="192" spans="2:6" s="8" customFormat="1">
      <c r="B192" s="39"/>
      <c r="E192" s="558"/>
      <c r="F192" s="558"/>
    </row>
    <row r="193" spans="2:6" s="8" customFormat="1">
      <c r="B193" s="39"/>
      <c r="E193" s="558"/>
      <c r="F193" s="558"/>
    </row>
    <row r="194" spans="2:6" s="8" customFormat="1">
      <c r="B194" s="39"/>
      <c r="E194" s="558"/>
      <c r="F194" s="558"/>
    </row>
    <row r="195" spans="2:6" s="8" customFormat="1">
      <c r="B195" s="39"/>
      <c r="E195" s="558"/>
      <c r="F195" s="558"/>
    </row>
    <row r="196" spans="2:6" s="8" customFormat="1">
      <c r="B196" s="39"/>
      <c r="E196" s="558"/>
      <c r="F196" s="558"/>
    </row>
    <row r="197" spans="2:6" s="8" customFormat="1">
      <c r="B197" s="39"/>
      <c r="E197" s="558"/>
      <c r="F197" s="558"/>
    </row>
    <row r="198" spans="2:6" s="8" customFormat="1">
      <c r="B198" s="39"/>
      <c r="E198" s="558"/>
      <c r="F198" s="558"/>
    </row>
    <row r="199" spans="2:6" s="8" customFormat="1">
      <c r="B199" s="39"/>
      <c r="E199" s="558"/>
      <c r="F199" s="558"/>
    </row>
    <row r="200" spans="2:6" s="8" customFormat="1">
      <c r="B200" s="39"/>
      <c r="E200" s="558"/>
      <c r="F200" s="558"/>
    </row>
    <row r="201" spans="2:6" s="8" customFormat="1">
      <c r="B201" s="39"/>
      <c r="E201" s="558"/>
      <c r="F201" s="558"/>
    </row>
    <row r="202" spans="2:6" s="8" customFormat="1">
      <c r="B202" s="39"/>
      <c r="E202" s="558"/>
      <c r="F202" s="558"/>
    </row>
    <row r="203" spans="2:6" s="8" customFormat="1">
      <c r="B203" s="39"/>
      <c r="E203" s="558"/>
      <c r="F203" s="558"/>
    </row>
    <row r="204" spans="2:6" s="8" customFormat="1">
      <c r="B204" s="39"/>
      <c r="E204" s="558"/>
      <c r="F204" s="558"/>
    </row>
    <row r="205" spans="2:6" s="8" customFormat="1">
      <c r="B205" s="39"/>
      <c r="E205" s="558"/>
      <c r="F205" s="558"/>
    </row>
    <row r="206" spans="2:6" s="8" customFormat="1">
      <c r="B206" s="39"/>
      <c r="E206" s="558"/>
      <c r="F206" s="558"/>
    </row>
    <row r="207" spans="2:6" s="8" customFormat="1">
      <c r="B207" s="39"/>
      <c r="E207" s="558"/>
      <c r="F207" s="558"/>
    </row>
    <row r="208" spans="2:6" s="8" customFormat="1">
      <c r="B208" s="39"/>
      <c r="E208" s="558"/>
      <c r="F208" s="558"/>
    </row>
    <row r="209" spans="2:6" s="8" customFormat="1">
      <c r="B209" s="39"/>
      <c r="E209" s="558"/>
      <c r="F209" s="558"/>
    </row>
    <row r="210" spans="2:6" s="8" customFormat="1">
      <c r="B210" s="39"/>
      <c r="E210" s="558"/>
      <c r="F210" s="558"/>
    </row>
    <row r="211" spans="2:6" s="8" customFormat="1">
      <c r="B211" s="39"/>
      <c r="E211" s="558"/>
      <c r="F211" s="558"/>
    </row>
    <row r="212" spans="2:6" s="8" customFormat="1">
      <c r="B212" s="39"/>
      <c r="E212" s="558"/>
      <c r="F212" s="558"/>
    </row>
    <row r="213" spans="2:6" s="8" customFormat="1">
      <c r="B213" s="39"/>
      <c r="E213" s="558"/>
      <c r="F213" s="558"/>
    </row>
    <row r="214" spans="2:6" s="8" customFormat="1">
      <c r="B214" s="39"/>
      <c r="E214" s="558"/>
      <c r="F214" s="558"/>
    </row>
    <row r="215" spans="2:6" s="8" customFormat="1">
      <c r="B215" s="39"/>
      <c r="E215" s="558"/>
      <c r="F215" s="558"/>
    </row>
    <row r="216" spans="2:6" s="8" customFormat="1">
      <c r="B216" s="39"/>
      <c r="E216" s="558"/>
      <c r="F216" s="558"/>
    </row>
    <row r="217" spans="2:6" s="8" customFormat="1">
      <c r="B217" s="39"/>
      <c r="E217" s="558"/>
      <c r="F217" s="558"/>
    </row>
    <row r="218" spans="2:6" s="8" customFormat="1">
      <c r="B218" s="39"/>
      <c r="E218" s="558"/>
      <c r="F218" s="558"/>
    </row>
    <row r="219" spans="2:6" s="8" customFormat="1">
      <c r="B219" s="39"/>
      <c r="E219" s="558"/>
      <c r="F219" s="558"/>
    </row>
    <row r="220" spans="2:6" s="8" customFormat="1">
      <c r="B220" s="39"/>
      <c r="E220" s="558"/>
      <c r="F220" s="558"/>
    </row>
    <row r="221" spans="2:6" s="8" customFormat="1">
      <c r="B221" s="39"/>
      <c r="E221" s="558"/>
      <c r="F221" s="558"/>
    </row>
    <row r="222" spans="2:6" s="8" customFormat="1">
      <c r="B222" s="39"/>
      <c r="E222" s="558"/>
      <c r="F222" s="558"/>
    </row>
    <row r="223" spans="2:6" s="8" customFormat="1">
      <c r="B223" s="39"/>
      <c r="E223" s="558"/>
      <c r="F223" s="558"/>
    </row>
    <row r="224" spans="2:6" s="8" customFormat="1">
      <c r="B224" s="39"/>
      <c r="E224" s="558"/>
      <c r="F224" s="558"/>
    </row>
    <row r="225" spans="2:6" s="8" customFormat="1">
      <c r="B225" s="39"/>
      <c r="E225" s="558"/>
      <c r="F225" s="558"/>
    </row>
    <row r="226" spans="2:6" s="8" customFormat="1">
      <c r="B226" s="39"/>
      <c r="E226" s="558"/>
      <c r="F226" s="558"/>
    </row>
    <row r="227" spans="2:6" s="8" customFormat="1">
      <c r="B227" s="39"/>
      <c r="E227" s="558"/>
      <c r="F227" s="558"/>
    </row>
    <row r="228" spans="2:6" s="8" customFormat="1">
      <c r="B228" s="39"/>
      <c r="E228" s="558"/>
      <c r="F228" s="558"/>
    </row>
    <row r="229" spans="2:6" s="8" customFormat="1">
      <c r="B229" s="39"/>
      <c r="E229" s="558"/>
      <c r="F229" s="558"/>
    </row>
    <row r="230" spans="2:6" s="8" customFormat="1">
      <c r="B230" s="39"/>
      <c r="E230" s="558"/>
      <c r="F230" s="558"/>
    </row>
    <row r="231" spans="2:6" s="8" customFormat="1">
      <c r="B231" s="39"/>
      <c r="E231" s="558"/>
      <c r="F231" s="558"/>
    </row>
    <row r="232" spans="2:6" s="8" customFormat="1">
      <c r="B232" s="39"/>
      <c r="E232" s="558"/>
      <c r="F232" s="558"/>
    </row>
    <row r="233" spans="2:6" s="8" customFormat="1">
      <c r="B233" s="39"/>
      <c r="E233" s="558"/>
      <c r="F233" s="558"/>
    </row>
    <row r="234" spans="2:6" s="8" customFormat="1">
      <c r="B234" s="39"/>
      <c r="E234" s="558"/>
      <c r="F234" s="558"/>
    </row>
    <row r="235" spans="2:6" s="8" customFormat="1">
      <c r="B235" s="39"/>
      <c r="E235" s="558"/>
      <c r="F235" s="558"/>
    </row>
    <row r="236" spans="2:6" s="8" customFormat="1">
      <c r="B236" s="39"/>
      <c r="E236" s="558"/>
      <c r="F236" s="558"/>
    </row>
    <row r="237" spans="2:6" s="8" customFormat="1">
      <c r="B237" s="39"/>
      <c r="E237" s="558"/>
      <c r="F237" s="558"/>
    </row>
    <row r="238" spans="2:6" s="8" customFormat="1">
      <c r="B238" s="39"/>
      <c r="E238" s="558"/>
      <c r="F238" s="558"/>
    </row>
    <row r="239" spans="2:6" s="8" customFormat="1">
      <c r="B239" s="39"/>
      <c r="E239" s="558"/>
      <c r="F239" s="558"/>
    </row>
    <row r="240" spans="2:6" s="8" customFormat="1">
      <c r="B240" s="39"/>
      <c r="E240" s="558"/>
      <c r="F240" s="558"/>
    </row>
    <row r="241" spans="2:6" s="8" customFormat="1">
      <c r="B241" s="39"/>
      <c r="E241" s="558"/>
      <c r="F241" s="558"/>
    </row>
    <row r="242" spans="2:6" s="8" customFormat="1">
      <c r="B242" s="39"/>
      <c r="E242" s="558"/>
      <c r="F242" s="558"/>
    </row>
    <row r="243" spans="2:6" s="8" customFormat="1">
      <c r="B243" s="39"/>
      <c r="E243" s="558"/>
      <c r="F243" s="558"/>
    </row>
    <row r="244" spans="2:6" s="8" customFormat="1">
      <c r="B244" s="39"/>
      <c r="E244" s="558"/>
      <c r="F244" s="558"/>
    </row>
    <row r="245" spans="2:6" s="8" customFormat="1">
      <c r="B245" s="39"/>
      <c r="E245" s="558"/>
      <c r="F245" s="558"/>
    </row>
    <row r="246" spans="2:6" s="8" customFormat="1">
      <c r="B246" s="39"/>
      <c r="E246" s="558"/>
      <c r="F246" s="558"/>
    </row>
    <row r="247" spans="2:6" s="8" customFormat="1">
      <c r="B247" s="39"/>
      <c r="E247" s="558"/>
      <c r="F247" s="558"/>
    </row>
    <row r="248" spans="2:6" s="8" customFormat="1">
      <c r="B248" s="39"/>
      <c r="E248" s="558"/>
      <c r="F248" s="558"/>
    </row>
    <row r="249" spans="2:6" s="8" customFormat="1">
      <c r="B249" s="39"/>
      <c r="E249" s="558"/>
      <c r="F249" s="558"/>
    </row>
    <row r="250" spans="2:6" s="8" customFormat="1">
      <c r="B250" s="39"/>
      <c r="E250" s="558"/>
      <c r="F250" s="558"/>
    </row>
    <row r="251" spans="2:6" s="8" customFormat="1">
      <c r="B251" s="39"/>
      <c r="E251" s="558"/>
      <c r="F251" s="558"/>
    </row>
    <row r="252" spans="2:6" s="8" customFormat="1">
      <c r="B252" s="39"/>
      <c r="E252" s="558"/>
      <c r="F252" s="558"/>
    </row>
    <row r="253" spans="2:6" s="8" customFormat="1">
      <c r="B253" s="39"/>
      <c r="E253" s="558"/>
      <c r="F253" s="558"/>
    </row>
    <row r="254" spans="2:6" s="8" customFormat="1">
      <c r="B254" s="39"/>
      <c r="E254" s="558"/>
      <c r="F254" s="558"/>
    </row>
    <row r="255" spans="2:6" s="8" customFormat="1">
      <c r="B255" s="39"/>
      <c r="E255" s="558"/>
      <c r="F255" s="558"/>
    </row>
    <row r="256" spans="2:6" s="8" customFormat="1">
      <c r="B256" s="39"/>
      <c r="E256" s="558"/>
      <c r="F256" s="558"/>
    </row>
    <row r="257" spans="2:6" s="8" customFormat="1">
      <c r="B257" s="39"/>
      <c r="E257" s="558"/>
      <c r="F257" s="558"/>
    </row>
    <row r="258" spans="2:6" s="8" customFormat="1">
      <c r="B258" s="39"/>
      <c r="E258" s="558"/>
      <c r="F258" s="558"/>
    </row>
    <row r="259" spans="2:6" s="8" customFormat="1">
      <c r="B259" s="39"/>
      <c r="E259" s="558"/>
      <c r="F259" s="558"/>
    </row>
    <row r="260" spans="2:6" s="8" customFormat="1">
      <c r="B260" s="39"/>
      <c r="E260" s="558"/>
      <c r="F260" s="558"/>
    </row>
    <row r="261" spans="2:6" s="8" customFormat="1">
      <c r="B261" s="39"/>
      <c r="E261" s="558"/>
      <c r="F261" s="558"/>
    </row>
    <row r="262" spans="2:6" s="8" customFormat="1">
      <c r="B262" s="39"/>
      <c r="E262" s="558"/>
      <c r="F262" s="558"/>
    </row>
    <row r="263" spans="2:6" s="8" customFormat="1">
      <c r="B263" s="39"/>
      <c r="E263" s="558"/>
      <c r="F263" s="558"/>
    </row>
    <row r="264" spans="2:6" s="8" customFormat="1">
      <c r="B264" s="39"/>
      <c r="E264" s="558"/>
      <c r="F264" s="558"/>
    </row>
    <row r="265" spans="2:6" s="8" customFormat="1">
      <c r="B265" s="39"/>
      <c r="E265" s="558"/>
      <c r="F265" s="558"/>
    </row>
    <row r="266" spans="2:6" s="8" customFormat="1">
      <c r="B266" s="39"/>
      <c r="E266" s="558"/>
      <c r="F266" s="558"/>
    </row>
    <row r="267" spans="2:6" s="8" customFormat="1">
      <c r="B267" s="39"/>
      <c r="E267" s="558"/>
      <c r="F267" s="558"/>
    </row>
    <row r="268" spans="2:6" s="8" customFormat="1">
      <c r="B268" s="39"/>
      <c r="E268" s="558"/>
      <c r="F268" s="558"/>
    </row>
    <row r="269" spans="2:6" s="8" customFormat="1">
      <c r="B269" s="39"/>
      <c r="E269" s="558"/>
      <c r="F269" s="558"/>
    </row>
    <row r="270" spans="2:6" s="8" customFormat="1">
      <c r="B270" s="39"/>
      <c r="E270" s="558"/>
      <c r="F270" s="558"/>
    </row>
    <row r="271" spans="2:6" s="8" customFormat="1">
      <c r="B271" s="39"/>
      <c r="E271" s="558"/>
      <c r="F271" s="558"/>
    </row>
    <row r="272" spans="2:6" s="8" customFormat="1">
      <c r="B272" s="39"/>
      <c r="E272" s="558"/>
      <c r="F272" s="558"/>
    </row>
    <row r="273" spans="2:6" s="8" customFormat="1">
      <c r="B273" s="39"/>
      <c r="E273" s="558"/>
      <c r="F273" s="558"/>
    </row>
    <row r="274" spans="2:6" s="8" customFormat="1">
      <c r="B274" s="39"/>
      <c r="E274" s="558"/>
      <c r="F274" s="558"/>
    </row>
    <row r="275" spans="2:6" s="8" customFormat="1">
      <c r="B275" s="39"/>
      <c r="E275" s="558"/>
      <c r="F275" s="558"/>
    </row>
    <row r="276" spans="2:6" s="8" customFormat="1">
      <c r="B276" s="39"/>
      <c r="E276" s="558"/>
      <c r="F276" s="558"/>
    </row>
    <row r="277" spans="2:6" s="8" customFormat="1">
      <c r="B277" s="39"/>
      <c r="E277" s="558"/>
      <c r="F277" s="558"/>
    </row>
    <row r="278" spans="2:6" s="8" customFormat="1">
      <c r="B278" s="39"/>
      <c r="E278" s="558"/>
      <c r="F278" s="558"/>
    </row>
    <row r="279" spans="2:6" s="8" customFormat="1">
      <c r="B279" s="39"/>
      <c r="E279" s="558"/>
      <c r="F279" s="558"/>
    </row>
    <row r="280" spans="2:6" s="8" customFormat="1">
      <c r="B280" s="39"/>
      <c r="E280" s="558"/>
      <c r="F280" s="558"/>
    </row>
    <row r="281" spans="2:6" s="8" customFormat="1">
      <c r="B281" s="39"/>
      <c r="E281" s="558"/>
      <c r="F281" s="558"/>
    </row>
    <row r="282" spans="2:6" s="8" customFormat="1">
      <c r="B282" s="39"/>
      <c r="E282" s="558"/>
      <c r="F282" s="558"/>
    </row>
    <row r="283" spans="2:6" s="8" customFormat="1">
      <c r="B283" s="39"/>
      <c r="E283" s="558"/>
      <c r="F283" s="558"/>
    </row>
    <row r="284" spans="2:6" s="8" customFormat="1">
      <c r="B284" s="39"/>
      <c r="E284" s="558"/>
      <c r="F284" s="558"/>
    </row>
    <row r="285" spans="2:6" s="8" customFormat="1">
      <c r="B285" s="39"/>
      <c r="E285" s="558"/>
      <c r="F285" s="558"/>
    </row>
    <row r="286" spans="2:6" s="8" customFormat="1">
      <c r="B286" s="39"/>
      <c r="E286" s="558"/>
      <c r="F286" s="558"/>
    </row>
    <row r="287" spans="2:6" s="8" customFormat="1">
      <c r="B287" s="39"/>
      <c r="E287" s="558"/>
      <c r="F287" s="558"/>
    </row>
    <row r="288" spans="2:6" s="8" customFormat="1">
      <c r="B288" s="39"/>
      <c r="E288" s="558"/>
      <c r="F288" s="558"/>
    </row>
    <row r="289" spans="2:6" s="8" customFormat="1">
      <c r="B289" s="39"/>
      <c r="E289" s="558"/>
      <c r="F289" s="558"/>
    </row>
    <row r="290" spans="2:6" s="8" customFormat="1">
      <c r="B290" s="39"/>
      <c r="E290" s="558"/>
      <c r="F290" s="558"/>
    </row>
    <row r="291" spans="2:6" s="8" customFormat="1">
      <c r="B291" s="39"/>
      <c r="E291" s="558"/>
      <c r="F291" s="558"/>
    </row>
    <row r="292" spans="2:6" s="8" customFormat="1">
      <c r="B292" s="39"/>
      <c r="E292" s="558"/>
      <c r="F292" s="558"/>
    </row>
    <row r="293" spans="2:6" s="8" customFormat="1">
      <c r="B293" s="39"/>
      <c r="E293" s="558"/>
      <c r="F293" s="558"/>
    </row>
    <row r="294" spans="2:6" s="8" customFormat="1">
      <c r="B294" s="39"/>
      <c r="E294" s="558"/>
      <c r="F294" s="558"/>
    </row>
    <row r="295" spans="2:6" s="8" customFormat="1">
      <c r="B295" s="39"/>
      <c r="E295" s="558"/>
      <c r="F295" s="558"/>
    </row>
    <row r="296" spans="2:6" s="8" customFormat="1">
      <c r="B296" s="39"/>
      <c r="E296" s="558"/>
      <c r="F296" s="558"/>
    </row>
    <row r="297" spans="2:6" s="8" customFormat="1">
      <c r="B297" s="39"/>
      <c r="E297" s="558"/>
      <c r="F297" s="558"/>
    </row>
    <row r="298" spans="2:6" s="8" customFormat="1">
      <c r="B298" s="39"/>
      <c r="E298" s="558"/>
      <c r="F298" s="558"/>
    </row>
    <row r="299" spans="2:6" s="8" customFormat="1">
      <c r="B299" s="39"/>
      <c r="E299" s="558"/>
      <c r="F299" s="558"/>
    </row>
    <row r="300" spans="2:6" s="8" customFormat="1">
      <c r="B300" s="39"/>
      <c r="E300" s="558"/>
      <c r="F300" s="558"/>
    </row>
    <row r="301" spans="2:6" s="8" customFormat="1">
      <c r="B301" s="39"/>
      <c r="E301" s="558"/>
      <c r="F301" s="558"/>
    </row>
    <row r="302" spans="2:6" s="8" customFormat="1">
      <c r="B302" s="39"/>
      <c r="E302" s="558"/>
      <c r="F302" s="558"/>
    </row>
    <row r="303" spans="2:6" s="8" customFormat="1">
      <c r="B303" s="39"/>
      <c r="E303" s="558"/>
      <c r="F303" s="558"/>
    </row>
    <row r="304" spans="2:6" s="8" customFormat="1">
      <c r="B304" s="39"/>
      <c r="E304" s="558"/>
      <c r="F304" s="558"/>
    </row>
    <row r="305" spans="2:6" s="8" customFormat="1">
      <c r="B305" s="39"/>
      <c r="E305" s="558"/>
      <c r="F305" s="558"/>
    </row>
    <row r="306" spans="2:6" s="8" customFormat="1">
      <c r="B306" s="39"/>
      <c r="E306" s="558"/>
      <c r="F306" s="558"/>
    </row>
    <row r="307" spans="2:6" s="8" customFormat="1">
      <c r="B307" s="39"/>
      <c r="E307" s="558"/>
      <c r="F307" s="558"/>
    </row>
    <row r="308" spans="2:6" s="8" customFormat="1">
      <c r="B308" s="39"/>
      <c r="E308" s="558"/>
      <c r="F308" s="558"/>
    </row>
    <row r="309" spans="2:6" s="8" customFormat="1">
      <c r="B309" s="39"/>
      <c r="E309" s="558"/>
      <c r="F309" s="558"/>
    </row>
    <row r="310" spans="2:6" s="8" customFormat="1">
      <c r="B310" s="39"/>
      <c r="E310" s="558"/>
      <c r="F310" s="558"/>
    </row>
    <row r="311" spans="2:6" s="8" customFormat="1">
      <c r="B311" s="39"/>
      <c r="E311" s="558"/>
      <c r="F311" s="558"/>
    </row>
    <row r="312" spans="2:6" s="8" customFormat="1">
      <c r="B312" s="39"/>
      <c r="E312" s="558"/>
      <c r="F312" s="558"/>
    </row>
    <row r="313" spans="2:6" s="8" customFormat="1">
      <c r="B313" s="39"/>
      <c r="E313" s="558"/>
      <c r="F313" s="558"/>
    </row>
    <row r="314" spans="2:6" s="8" customFormat="1">
      <c r="B314" s="39"/>
      <c r="E314" s="558"/>
      <c r="F314" s="558"/>
    </row>
    <row r="315" spans="2:6" s="8" customFormat="1">
      <c r="B315" s="39"/>
      <c r="E315" s="558"/>
      <c r="F315" s="558"/>
    </row>
    <row r="316" spans="2:6" s="8" customFormat="1">
      <c r="B316" s="39"/>
      <c r="E316" s="558"/>
      <c r="F316" s="558"/>
    </row>
    <row r="317" spans="2:6" s="8" customFormat="1">
      <c r="B317" s="39"/>
      <c r="E317" s="558"/>
      <c r="F317" s="558"/>
    </row>
    <row r="318" spans="2:6" s="8" customFormat="1">
      <c r="B318" s="39"/>
      <c r="E318" s="558"/>
      <c r="F318" s="558"/>
    </row>
    <row r="319" spans="2:6" s="8" customFormat="1">
      <c r="B319" s="39"/>
      <c r="E319" s="558"/>
      <c r="F319" s="558"/>
    </row>
    <row r="320" spans="2:6" s="8" customFormat="1">
      <c r="B320" s="39"/>
      <c r="E320" s="558"/>
      <c r="F320" s="558"/>
    </row>
    <row r="321" spans="2:6" s="8" customFormat="1">
      <c r="B321" s="39"/>
      <c r="E321" s="558"/>
      <c r="F321" s="558"/>
    </row>
    <row r="322" spans="2:6" s="8" customFormat="1">
      <c r="B322" s="39"/>
      <c r="E322" s="558"/>
      <c r="F322" s="558"/>
    </row>
    <row r="323" spans="2:6" s="8" customFormat="1">
      <c r="B323" s="39"/>
      <c r="E323" s="558"/>
      <c r="F323" s="558"/>
    </row>
    <row r="324" spans="2:6" s="8" customFormat="1">
      <c r="B324" s="39"/>
      <c r="E324" s="558"/>
      <c r="F324" s="558"/>
    </row>
    <row r="325" spans="2:6" s="8" customFormat="1">
      <c r="B325" s="39"/>
      <c r="E325" s="558"/>
      <c r="F325" s="558"/>
    </row>
    <row r="326" spans="2:6" s="8" customFormat="1">
      <c r="B326" s="39"/>
      <c r="E326" s="558"/>
      <c r="F326" s="558"/>
    </row>
    <row r="327" spans="2:6" s="8" customFormat="1">
      <c r="B327" s="39"/>
      <c r="E327" s="558"/>
      <c r="F327" s="558"/>
    </row>
    <row r="328" spans="2:6" s="8" customFormat="1">
      <c r="B328" s="39"/>
      <c r="E328" s="558"/>
      <c r="F328" s="558"/>
    </row>
    <row r="329" spans="2:6" s="8" customFormat="1">
      <c r="B329" s="39"/>
      <c r="E329" s="558"/>
      <c r="F329" s="558"/>
    </row>
    <row r="330" spans="2:6" s="8" customFormat="1">
      <c r="B330" s="39"/>
      <c r="E330" s="558"/>
      <c r="F330" s="558"/>
    </row>
    <row r="331" spans="2:6" s="8" customFormat="1">
      <c r="B331" s="39"/>
      <c r="E331" s="558"/>
      <c r="F331" s="558"/>
    </row>
    <row r="332" spans="2:6" s="8" customFormat="1">
      <c r="B332" s="39"/>
      <c r="E332" s="558"/>
      <c r="F332" s="558"/>
    </row>
    <row r="333" spans="2:6" s="8" customFormat="1">
      <c r="B333" s="39"/>
      <c r="E333" s="558"/>
      <c r="F333" s="558"/>
    </row>
    <row r="334" spans="2:6" s="8" customFormat="1">
      <c r="B334" s="39"/>
      <c r="E334" s="558"/>
      <c r="F334" s="558"/>
    </row>
    <row r="335" spans="2:6" s="8" customFormat="1">
      <c r="B335" s="39"/>
      <c r="E335" s="558"/>
      <c r="F335" s="558"/>
    </row>
    <row r="336" spans="2:6" s="8" customFormat="1">
      <c r="B336" s="39"/>
      <c r="E336" s="558"/>
      <c r="F336" s="558"/>
    </row>
    <row r="337" spans="2:6" s="8" customFormat="1">
      <c r="B337" s="39"/>
      <c r="E337" s="558"/>
      <c r="F337" s="558"/>
    </row>
    <row r="338" spans="2:6" s="8" customFormat="1">
      <c r="B338" s="39"/>
      <c r="E338" s="558"/>
      <c r="F338" s="558"/>
    </row>
    <row r="339" spans="2:6" s="8" customFormat="1">
      <c r="B339" s="39"/>
      <c r="E339" s="558"/>
      <c r="F339" s="558"/>
    </row>
    <row r="340" spans="2:6" s="8" customFormat="1">
      <c r="B340" s="39"/>
      <c r="C340" s="6"/>
      <c r="D340" s="6"/>
      <c r="E340" s="558"/>
      <c r="F340" s="558"/>
    </row>
  </sheetData>
  <sheetProtection password="EFA0" sheet="1" objects="1" scenarios="1" formatCells="0" formatColumns="0"/>
  <mergeCells count="7">
    <mergeCell ref="A11:C11"/>
    <mergeCell ref="A25:C25"/>
    <mergeCell ref="A1:D1"/>
    <mergeCell ref="D4:D5"/>
    <mergeCell ref="B4:B5"/>
    <mergeCell ref="C4:C5"/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horizontalDpi="4294967295" verticalDpi="4294967295" r:id="rId1"/>
  <headerFooter alignWithMargins="0">
    <oddHeader>&amp;A</oddHeader>
    <oddFooter>&amp;Limprimé le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5" enableFormatConditionsCalculation="0">
    <tabColor theme="8" tint="0.39997558519241921"/>
  </sheetPr>
  <dimension ref="A1:L59"/>
  <sheetViews>
    <sheetView showGridLines="0" zoomScale="70" zoomScaleNormal="70" zoomScalePageLayoutView="75" workbookViewId="0">
      <selection activeCell="R43" sqref="R43:R44"/>
    </sheetView>
  </sheetViews>
  <sheetFormatPr baseColWidth="10" defaultColWidth="10.85546875" defaultRowHeight="15.75"/>
  <cols>
    <col min="1" max="1" width="50.140625" style="10" customWidth="1"/>
    <col min="2" max="2" width="3.85546875" style="10" customWidth="1"/>
    <col min="3" max="3" width="14.42578125" style="50" customWidth="1"/>
    <col min="4" max="4" width="1.42578125" style="50" customWidth="1"/>
    <col min="5" max="5" width="10.85546875" style="10"/>
    <col min="6" max="6" width="1.85546875" style="10" customWidth="1"/>
    <col min="7" max="7" width="10.85546875" style="10"/>
    <col min="8" max="8" width="1.85546875" style="10" customWidth="1"/>
    <col min="9" max="9" width="10.85546875" style="10"/>
    <col min="10" max="10" width="11.85546875" style="10" customWidth="1"/>
    <col min="11" max="16384" width="10.85546875" style="10"/>
  </cols>
  <sheetData>
    <row r="1" spans="1:12" ht="20.25" customHeight="1" thickBot="1">
      <c r="A1" s="750" t="s">
        <v>23</v>
      </c>
      <c r="B1" s="751"/>
      <c r="C1" s="752"/>
      <c r="D1"/>
      <c r="E1" s="57"/>
    </row>
    <row r="2" spans="1:12" ht="15" customHeight="1">
      <c r="A2" s="756" t="s">
        <v>241</v>
      </c>
      <c r="B2" s="756"/>
      <c r="C2" s="756"/>
      <c r="D2" s="245"/>
      <c r="E2" s="57"/>
    </row>
    <row r="3" spans="1:12" ht="18" customHeight="1">
      <c r="A3" s="753" t="s">
        <v>245</v>
      </c>
      <c r="B3" s="754"/>
      <c r="C3" s="755"/>
      <c r="D3"/>
      <c r="E3" s="404" t="s">
        <v>65</v>
      </c>
      <c r="F3" s="497"/>
      <c r="G3" s="404" t="s">
        <v>51</v>
      </c>
      <c r="H3"/>
      <c r="I3"/>
      <c r="J3"/>
      <c r="K3"/>
    </row>
    <row r="4" spans="1:12" s="11" customFormat="1" ht="7.5" customHeight="1">
      <c r="A4" s="76"/>
      <c r="B4" s="76"/>
      <c r="C4" s="59"/>
      <c r="D4" s="59"/>
      <c r="E4"/>
      <c r="I4"/>
      <c r="J4"/>
      <c r="K4"/>
    </row>
    <row r="5" spans="1:12" s="11" customFormat="1" ht="18" customHeight="1">
      <c r="A5" s="63" t="s">
        <v>25</v>
      </c>
      <c r="B5" s="54"/>
      <c r="C5" s="62">
        <f>'3.0 Compte de résultat'!D10</f>
        <v>70000</v>
      </c>
      <c r="D5" s="248" t="s">
        <v>0</v>
      </c>
      <c r="E5" s="62">
        <f>'3.0 Compte de résultat'!E10</f>
        <v>97000</v>
      </c>
      <c r="F5" s="246"/>
      <c r="G5" s="62">
        <f>'3.0 Compte de résultat'!F10</f>
        <v>110000</v>
      </c>
      <c r="H5" s="246"/>
      <c r="I5"/>
      <c r="J5"/>
      <c r="K5"/>
      <c r="L5"/>
    </row>
    <row r="6" spans="1:12" s="11" customFormat="1" ht="7.5" customHeight="1">
      <c r="A6" s="54"/>
      <c r="B6" s="54"/>
      <c r="C6" s="59"/>
      <c r="D6" s="59"/>
      <c r="E6" s="59"/>
      <c r="G6" s="59"/>
      <c r="I6"/>
      <c r="J6"/>
      <c r="K6"/>
    </row>
    <row r="7" spans="1:12" s="11" customFormat="1" ht="18" customHeight="1">
      <c r="A7" s="63" t="s">
        <v>242</v>
      </c>
      <c r="B7" s="54"/>
      <c r="C7" s="62">
        <f>C5*(100%+'3,6 ca mini'!L19)</f>
        <v>83720</v>
      </c>
      <c r="D7" s="248"/>
      <c r="E7" s="62">
        <f>E5*(100%+'3,6 ca mini'!L19)</f>
        <v>116012</v>
      </c>
      <c r="G7" s="62">
        <f>G5*(100%+'3,6 ca mini'!L19)</f>
        <v>131560</v>
      </c>
      <c r="I7"/>
      <c r="J7"/>
      <c r="K7"/>
    </row>
    <row r="8" spans="1:12" s="11" customFormat="1" ht="7.5" customHeight="1">
      <c r="A8" s="64"/>
      <c r="B8" s="64"/>
      <c r="C8" s="59"/>
      <c r="D8" s="59"/>
      <c r="E8" s="59"/>
      <c r="G8" s="59"/>
      <c r="I8"/>
      <c r="J8"/>
      <c r="K8"/>
    </row>
    <row r="9" spans="1:12" s="11" customFormat="1" ht="18" customHeight="1">
      <c r="A9" s="65" t="s">
        <v>26</v>
      </c>
      <c r="B9" s="64"/>
      <c r="C9" s="593">
        <v>20</v>
      </c>
      <c r="D9" s="594"/>
      <c r="E9" s="595">
        <v>20</v>
      </c>
      <c r="F9" s="594">
        <v>30</v>
      </c>
      <c r="G9" s="596">
        <v>20</v>
      </c>
      <c r="I9"/>
      <c r="J9"/>
      <c r="K9"/>
    </row>
    <row r="10" spans="1:12" s="11" customFormat="1" ht="7.5" customHeight="1">
      <c r="A10" s="64"/>
      <c r="B10" s="64"/>
      <c r="C10" s="59"/>
      <c r="D10" s="59"/>
      <c r="E10" s="59"/>
      <c r="G10" s="59"/>
      <c r="I10"/>
      <c r="J10"/>
      <c r="K10"/>
    </row>
    <row r="11" spans="1:12" s="11" customFormat="1" ht="18" customHeight="1">
      <c r="A11" s="66" t="s">
        <v>27</v>
      </c>
      <c r="B11" s="64"/>
      <c r="C11" s="62">
        <f>C7/365*C9</f>
        <v>4587.3972602739723</v>
      </c>
      <c r="D11" s="248"/>
      <c r="E11" s="62">
        <f>E7/365*E9</f>
        <v>6356.821917808219</v>
      </c>
      <c r="G11" s="62">
        <f>G7/365*G9</f>
        <v>7208.767123287671</v>
      </c>
      <c r="I11"/>
      <c r="J11"/>
      <c r="K11"/>
    </row>
    <row r="12" spans="1:12" s="11" customFormat="1" ht="12" customHeight="1">
      <c r="A12" s="165" t="s">
        <v>243</v>
      </c>
      <c r="B12" s="64"/>
      <c r="C12" s="73"/>
      <c r="D12" s="73"/>
      <c r="E12" s="73"/>
      <c r="G12" s="73"/>
    </row>
    <row r="13" spans="1:12" s="11" customFormat="1" ht="4.5" customHeight="1">
      <c r="A13" s="64"/>
      <c r="B13" s="64"/>
      <c r="C13" s="59"/>
      <c r="D13" s="59"/>
      <c r="E13" s="60"/>
    </row>
    <row r="14" spans="1:12" ht="18" customHeight="1">
      <c r="A14" s="753" t="s">
        <v>246</v>
      </c>
      <c r="B14" s="754"/>
      <c r="C14" s="755"/>
      <c r="D14"/>
      <c r="E14" s="57"/>
    </row>
    <row r="15" spans="1:12" ht="7.5" customHeight="1">
      <c r="A15" s="57"/>
      <c r="B15" s="57"/>
      <c r="C15" s="73"/>
      <c r="D15" s="73"/>
      <c r="E15" s="57"/>
    </row>
    <row r="16" spans="1:12" s="11" customFormat="1" ht="18" customHeight="1">
      <c r="A16" s="63" t="s">
        <v>25</v>
      </c>
      <c r="B16" s="54"/>
      <c r="C16" s="62">
        <f>C5</f>
        <v>70000</v>
      </c>
      <c r="D16" s="248"/>
      <c r="E16" s="62">
        <f>E5</f>
        <v>97000</v>
      </c>
      <c r="G16" s="62">
        <f>G5</f>
        <v>110000</v>
      </c>
    </row>
    <row r="17" spans="1:11" ht="7.5" customHeight="1">
      <c r="A17" s="57"/>
      <c r="B17" s="57"/>
      <c r="C17" s="73"/>
      <c r="D17" s="249"/>
      <c r="E17" s="73"/>
      <c r="G17" s="73"/>
    </row>
    <row r="18" spans="1:11" s="11" customFormat="1" ht="18" customHeight="1">
      <c r="A18" s="63" t="s">
        <v>242</v>
      </c>
      <c r="B18" s="54"/>
      <c r="C18" s="62">
        <f>C7</f>
        <v>83720</v>
      </c>
      <c r="D18" s="248"/>
      <c r="E18" s="62">
        <f>E7</f>
        <v>116012</v>
      </c>
      <c r="G18" s="62">
        <f>G7</f>
        <v>131560</v>
      </c>
    </row>
    <row r="19" spans="1:11" ht="7.5" customHeight="1">
      <c r="A19" s="64"/>
      <c r="B19" s="64"/>
      <c r="C19" s="58"/>
      <c r="D19" s="58"/>
      <c r="E19" s="58"/>
      <c r="G19" s="58"/>
    </row>
    <row r="20" spans="1:11" ht="18" customHeight="1">
      <c r="A20" s="74" t="s">
        <v>29</v>
      </c>
      <c r="B20" s="70"/>
      <c r="C20" s="254">
        <f>100%-'3,6 ca mini'!C9</f>
        <v>7.999999999999996E-2</v>
      </c>
      <c r="D20" s="247"/>
      <c r="E20" s="254">
        <f>100%-'3,6 ca mini'!C9</f>
        <v>7.999999999999996E-2</v>
      </c>
      <c r="G20" s="254">
        <f>100%-'3,6 ca mini'!C9</f>
        <v>7.999999999999996E-2</v>
      </c>
    </row>
    <row r="21" spans="1:11" ht="7.5" customHeight="1">
      <c r="A21" s="64"/>
      <c r="B21" s="64"/>
      <c r="C21" s="58"/>
      <c r="D21" s="58"/>
      <c r="E21" s="58"/>
      <c r="G21" s="58"/>
    </row>
    <row r="22" spans="1:11" ht="18" customHeight="1">
      <c r="A22" s="66" t="s">
        <v>30</v>
      </c>
      <c r="B22" s="64"/>
      <c r="C22" s="62">
        <f>C18*C20</f>
        <v>6697.5999999999967</v>
      </c>
      <c r="D22" s="248"/>
      <c r="E22" s="62">
        <f>E18*E20</f>
        <v>9280.9599999999955</v>
      </c>
      <c r="G22" s="62">
        <f>G18*G20</f>
        <v>10524.799999999996</v>
      </c>
    </row>
    <row r="23" spans="1:11" ht="12" customHeight="1">
      <c r="A23" s="67" t="s">
        <v>244</v>
      </c>
      <c r="B23" s="64"/>
      <c r="C23" s="73"/>
      <c r="D23" s="249"/>
      <c r="E23" s="73"/>
      <c r="G23" s="73"/>
      <c r="I23"/>
      <c r="J23"/>
      <c r="K23"/>
    </row>
    <row r="24" spans="1:11" ht="7.5" customHeight="1">
      <c r="A24" s="64"/>
      <c r="B24" s="64"/>
      <c r="C24" s="58"/>
      <c r="D24" s="250"/>
      <c r="E24" s="58"/>
      <c r="G24" s="58"/>
      <c r="I24"/>
      <c r="J24"/>
      <c r="K24"/>
    </row>
    <row r="25" spans="1:11" ht="18" customHeight="1">
      <c r="A25" s="61" t="s">
        <v>31</v>
      </c>
      <c r="B25" s="71"/>
      <c r="C25" s="593">
        <v>30</v>
      </c>
      <c r="D25" s="594"/>
      <c r="E25" s="595">
        <v>30</v>
      </c>
      <c r="F25" s="594"/>
      <c r="G25" s="596">
        <v>30</v>
      </c>
      <c r="I25"/>
      <c r="J25"/>
      <c r="K25"/>
    </row>
    <row r="26" spans="1:11" ht="6" customHeight="1">
      <c r="A26" s="64"/>
      <c r="B26" s="64"/>
      <c r="C26" s="58" t="s">
        <v>0</v>
      </c>
      <c r="D26" s="250"/>
      <c r="E26" s="58" t="s">
        <v>0</v>
      </c>
      <c r="G26" s="58" t="s">
        <v>0</v>
      </c>
      <c r="I26"/>
      <c r="J26"/>
      <c r="K26"/>
    </row>
    <row r="27" spans="1:11" ht="18" customHeight="1">
      <c r="A27" s="66" t="s">
        <v>32</v>
      </c>
      <c r="B27" s="64"/>
      <c r="C27" s="62">
        <f>C22/365*C25</f>
        <v>550.48767123287644</v>
      </c>
      <c r="D27" s="248"/>
      <c r="E27" s="62">
        <f>E22/365*E25</f>
        <v>762.81863013698592</v>
      </c>
      <c r="G27" s="62">
        <f>G22/365*G25</f>
        <v>865.05205479452013</v>
      </c>
      <c r="I27"/>
      <c r="J27"/>
      <c r="K27"/>
    </row>
    <row r="28" spans="1:11" ht="12.75" customHeight="1">
      <c r="A28" s="165" t="s">
        <v>248</v>
      </c>
      <c r="B28" s="64"/>
      <c r="C28" s="73"/>
      <c r="D28" s="73"/>
      <c r="E28" s="57"/>
    </row>
    <row r="29" spans="1:11" ht="6" customHeight="1">
      <c r="A29" s="57"/>
      <c r="B29" s="57"/>
      <c r="C29" s="58"/>
      <c r="D29" s="58"/>
      <c r="E29" s="57"/>
    </row>
    <row r="30" spans="1:11" ht="18" customHeight="1">
      <c r="A30" s="753" t="s">
        <v>247</v>
      </c>
      <c r="B30" s="754"/>
      <c r="C30" s="755"/>
      <c r="D30"/>
      <c r="E30" s="57"/>
    </row>
    <row r="31" spans="1:11" ht="8.25" customHeight="1">
      <c r="A31" s="57"/>
      <c r="B31" s="57"/>
      <c r="C31" s="58"/>
      <c r="D31" s="58"/>
      <c r="E31" s="57"/>
    </row>
    <row r="32" spans="1:11" s="11" customFormat="1" ht="18" customHeight="1">
      <c r="A32" s="63" t="s">
        <v>25</v>
      </c>
      <c r="B32" s="54"/>
      <c r="C32" s="62">
        <f>C5</f>
        <v>70000</v>
      </c>
      <c r="D32" s="248"/>
      <c r="E32" s="62">
        <f>E5</f>
        <v>97000</v>
      </c>
      <c r="G32" s="62">
        <f>G5</f>
        <v>110000</v>
      </c>
    </row>
    <row r="33" spans="1:7" ht="7.5" customHeight="1">
      <c r="A33" s="60"/>
      <c r="B33" s="57"/>
      <c r="C33" s="73"/>
      <c r="D33" s="249"/>
      <c r="E33" s="73"/>
      <c r="G33" s="73"/>
    </row>
    <row r="34" spans="1:7" ht="18" customHeight="1">
      <c r="A34" s="66" t="s">
        <v>34</v>
      </c>
      <c r="B34" s="54"/>
      <c r="C34" s="62">
        <f>C32*C20</f>
        <v>5599.9999999999973</v>
      </c>
      <c r="D34" s="248"/>
      <c r="E34" s="62">
        <f>E32*E20</f>
        <v>7759.9999999999964</v>
      </c>
      <c r="G34" s="62">
        <f>G32*G20</f>
        <v>8799.9999999999964</v>
      </c>
    </row>
    <row r="35" spans="1:7" ht="14.25" customHeight="1">
      <c r="A35" s="67" t="s">
        <v>249</v>
      </c>
      <c r="B35" s="64"/>
      <c r="C35" s="73"/>
      <c r="D35" s="73"/>
      <c r="E35" s="73"/>
      <c r="G35" s="73"/>
    </row>
    <row r="36" spans="1:7" ht="7.5" customHeight="1">
      <c r="A36" s="64"/>
      <c r="B36" s="64"/>
      <c r="C36" s="73"/>
      <c r="D36" s="73"/>
      <c r="E36" s="73"/>
      <c r="G36" s="73"/>
    </row>
    <row r="37" spans="1:7" ht="19.5">
      <c r="A37" s="65" t="s">
        <v>35</v>
      </c>
      <c r="B37" s="54"/>
      <c r="C37" s="597">
        <v>0</v>
      </c>
      <c r="D37" s="598"/>
      <c r="E37" s="597">
        <v>1</v>
      </c>
      <c r="F37" s="599"/>
      <c r="G37" s="597">
        <v>1</v>
      </c>
    </row>
    <row r="38" spans="1:7" ht="5.25" customHeight="1">
      <c r="A38" s="64"/>
      <c r="B38" s="64"/>
      <c r="C38" s="58"/>
      <c r="D38" s="58"/>
      <c r="E38" s="58"/>
      <c r="G38" s="58"/>
    </row>
    <row r="39" spans="1:7" ht="19.5">
      <c r="A39" s="66" t="s">
        <v>36</v>
      </c>
      <c r="B39" s="64"/>
      <c r="C39" s="62">
        <f>C34/365*C37</f>
        <v>0</v>
      </c>
      <c r="D39" s="248"/>
      <c r="E39" s="62">
        <f>E34/365*E37</f>
        <v>21.260273972602729</v>
      </c>
      <c r="G39" s="62">
        <f>G34/365*G37</f>
        <v>24.10958904109588</v>
      </c>
    </row>
    <row r="40" spans="1:7" ht="7.5" customHeight="1">
      <c r="A40" s="165" t="s">
        <v>250</v>
      </c>
      <c r="B40" s="64"/>
      <c r="C40" s="73"/>
      <c r="D40" s="73"/>
      <c r="E40" s="57"/>
    </row>
    <row r="41" spans="1:7" ht="8.25" customHeight="1">
      <c r="A41" s="57"/>
      <c r="B41" s="57"/>
      <c r="C41" s="58"/>
      <c r="D41" s="58"/>
      <c r="E41" s="57"/>
    </row>
    <row r="42" spans="1:7" ht="19.5">
      <c r="A42" s="753" t="s">
        <v>37</v>
      </c>
      <c r="B42" s="754"/>
      <c r="C42" s="755"/>
      <c r="D42"/>
      <c r="E42" s="57"/>
    </row>
    <row r="43" spans="1:7" ht="6.75" customHeight="1">
      <c r="A43" s="71"/>
      <c r="B43" s="71"/>
      <c r="C43" s="58"/>
      <c r="D43" s="58"/>
      <c r="E43" s="57"/>
    </row>
    <row r="44" spans="1:7" ht="20.25" customHeight="1">
      <c r="A44" s="74" t="s">
        <v>33</v>
      </c>
      <c r="B44" s="64"/>
      <c r="C44" s="62">
        <f>C39</f>
        <v>0</v>
      </c>
      <c r="D44" s="248"/>
      <c r="E44" s="62">
        <f>E39</f>
        <v>21.260273972602729</v>
      </c>
      <c r="G44" s="62">
        <f>G39</f>
        <v>24.10958904109588</v>
      </c>
    </row>
    <row r="45" spans="1:7" ht="7.5" customHeight="1">
      <c r="A45" s="64"/>
      <c r="B45" s="64"/>
      <c r="C45"/>
      <c r="D45" s="250"/>
      <c r="E45"/>
      <c r="G45"/>
    </row>
    <row r="46" spans="1:7" ht="19.5">
      <c r="A46" s="63" t="s">
        <v>24</v>
      </c>
      <c r="B46" s="71"/>
      <c r="C46" s="62">
        <f>C11</f>
        <v>4587.3972602739723</v>
      </c>
      <c r="D46" s="248"/>
      <c r="E46" s="62">
        <f>E11</f>
        <v>6356.821917808219</v>
      </c>
      <c r="G46" s="62">
        <f>G11</f>
        <v>7208.767123287671</v>
      </c>
    </row>
    <row r="47" spans="1:7" ht="7.5" customHeight="1">
      <c r="A47" s="64"/>
      <c r="B47" s="64"/>
      <c r="C47" s="58"/>
      <c r="D47" s="250"/>
      <c r="E47" s="58"/>
      <c r="G47" s="58"/>
    </row>
    <row r="48" spans="1:7" ht="19.5">
      <c r="A48" s="74" t="s">
        <v>28</v>
      </c>
      <c r="B48" s="64"/>
      <c r="C48" s="62">
        <f>C27</f>
        <v>550.48767123287644</v>
      </c>
      <c r="D48" s="248"/>
      <c r="E48" s="62">
        <f>E27</f>
        <v>762.81863013698592</v>
      </c>
      <c r="G48" s="62">
        <f>G27</f>
        <v>865.05205479452013</v>
      </c>
    </row>
    <row r="49" spans="1:7" ht="6.75" customHeight="1">
      <c r="A49" s="57"/>
      <c r="B49" s="57"/>
      <c r="C49" s="58"/>
      <c r="D49" s="250"/>
      <c r="E49" s="58"/>
      <c r="G49" s="58"/>
    </row>
    <row r="50" spans="1:7" ht="22.5">
      <c r="A50" s="252" t="s">
        <v>417</v>
      </c>
      <c r="B50" s="75"/>
      <c r="C50" s="253">
        <f>C44+C46-C48</f>
        <v>4036.9095890410958</v>
      </c>
      <c r="D50" s="251"/>
      <c r="E50" s="253">
        <f>E44+E46-E48</f>
        <v>5615.2635616438356</v>
      </c>
      <c r="G50" s="253">
        <f>G44+G46-G48</f>
        <v>6367.8246575342473</v>
      </c>
    </row>
    <row r="51" spans="1:7" ht="11.25" customHeight="1" thickBot="1"/>
    <row r="52" spans="1:7" ht="20.25" thickBot="1">
      <c r="A52" s="750" t="s">
        <v>269</v>
      </c>
      <c r="B52" s="751"/>
      <c r="C52" s="752"/>
    </row>
    <row r="53" spans="1:7" ht="11.25" customHeight="1">
      <c r="A53" s="71"/>
      <c r="B53" s="71"/>
      <c r="C53" s="58"/>
    </row>
    <row r="54" spans="1:7" ht="19.5">
      <c r="A54" s="74" t="s">
        <v>270</v>
      </c>
      <c r="B54" s="64"/>
      <c r="C54" s="62">
        <f>C11-C27</f>
        <v>4036.9095890410958</v>
      </c>
      <c r="F54"/>
    </row>
    <row r="55" spans="1:7" ht="10.5" customHeight="1">
      <c r="A55" s="75" t="s">
        <v>109</v>
      </c>
      <c r="B55" s="64"/>
      <c r="C55" s="304" t="s">
        <v>109</v>
      </c>
      <c r="F55"/>
    </row>
    <row r="56" spans="1:7" ht="19.5">
      <c r="A56" s="63" t="s">
        <v>21</v>
      </c>
      <c r="B56" s="71"/>
      <c r="C56" s="62">
        <f>'1.3 Ma trésorerie de départ'!D32</f>
        <v>3225</v>
      </c>
      <c r="F56"/>
    </row>
    <row r="57" spans="1:7" ht="12.75" customHeight="1">
      <c r="A57" s="75" t="s">
        <v>108</v>
      </c>
      <c r="B57" s="64"/>
      <c r="C57" s="304" t="s">
        <v>108</v>
      </c>
      <c r="F57"/>
    </row>
    <row r="58" spans="1:7" ht="19.5">
      <c r="A58" s="305" t="s">
        <v>271</v>
      </c>
      <c r="B58" s="64"/>
      <c r="C58" s="62">
        <f>IF((C54-C56)&gt;0,C54-C56,0)</f>
        <v>811.90958904109584</v>
      </c>
      <c r="F58"/>
    </row>
    <row r="59" spans="1:7" ht="19.5">
      <c r="A59" s="57"/>
      <c r="B59" s="57"/>
      <c r="C59" s="58"/>
    </row>
  </sheetData>
  <sheetProtection password="F060" sheet="1"/>
  <mergeCells count="7">
    <mergeCell ref="A52:C52"/>
    <mergeCell ref="A42:C42"/>
    <mergeCell ref="A14:C14"/>
    <mergeCell ref="A1:C1"/>
    <mergeCell ref="A2:C2"/>
    <mergeCell ref="A3:C3"/>
    <mergeCell ref="A30:C30"/>
  </mergeCells>
  <phoneticPr fontId="0" type="noConversion"/>
  <printOptions horizontalCentered="1" verticalCentered="1"/>
  <pageMargins left="0.19685039370078741" right="0" top="0.11811023622047245" bottom="7.874015748031496E-2" header="0.11811023622047245" footer="7.874015748031496E-2"/>
  <pageSetup paperSize="9" orientation="portrait" horizontalDpi="4294967295"/>
  <headerFooter alignWithMargins="0">
    <oddHeader>&amp;R1.31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20"/>
  </sheetPr>
  <dimension ref="A1:L97"/>
  <sheetViews>
    <sheetView showGridLines="0" tabSelected="1" workbookViewId="0">
      <selection activeCell="B1" sqref="B1:F1"/>
    </sheetView>
  </sheetViews>
  <sheetFormatPr baseColWidth="10" defaultColWidth="10.85546875" defaultRowHeight="16.5"/>
  <cols>
    <col min="1" max="1" width="7.42578125" style="14" customWidth="1"/>
    <col min="2" max="2" width="49.42578125" style="15" bestFit="1" customWidth="1"/>
    <col min="3" max="3" width="8.42578125" style="15" customWidth="1"/>
    <col min="4" max="4" width="13.140625" style="40" customWidth="1"/>
    <col min="5" max="6" width="13.7109375" style="40" customWidth="1"/>
    <col min="7" max="11" width="10.85546875" style="91"/>
    <col min="12" max="16384" width="10.85546875" style="14"/>
  </cols>
  <sheetData>
    <row r="1" spans="1:11" ht="23.25" thickBot="1">
      <c r="A1" s="91"/>
      <c r="B1" s="740" t="s">
        <v>48</v>
      </c>
      <c r="C1" s="741"/>
      <c r="D1" s="741"/>
      <c r="E1" s="741"/>
      <c r="F1" s="742"/>
    </row>
    <row r="2" spans="1:11" ht="22.5">
      <c r="A2" s="770" t="str">
        <f>'1.0 Plan de financement'!A3:C3</f>
        <v>Allizéo Web</v>
      </c>
      <c r="B2" s="770"/>
      <c r="C2" s="770"/>
      <c r="D2" s="467"/>
      <c r="E2" s="467"/>
      <c r="F2" s="467"/>
      <c r="H2" s="512" t="s">
        <v>464</v>
      </c>
      <c r="I2" s="513"/>
      <c r="J2" s="513"/>
    </row>
    <row r="3" spans="1:11" s="16" customFormat="1" ht="21.6" customHeight="1">
      <c r="A3" s="92"/>
      <c r="B3" s="318" t="s">
        <v>0</v>
      </c>
      <c r="C3" s="319"/>
      <c r="D3" s="320" t="s">
        <v>49</v>
      </c>
      <c r="E3" s="320" t="s">
        <v>50</v>
      </c>
      <c r="F3" s="320" t="s">
        <v>51</v>
      </c>
      <c r="G3" s="92"/>
      <c r="H3" s="320" t="s">
        <v>49</v>
      </c>
      <c r="I3" s="320" t="s">
        <v>50</v>
      </c>
      <c r="J3" s="320" t="s">
        <v>51</v>
      </c>
      <c r="K3" s="92"/>
    </row>
    <row r="4" spans="1:11" s="17" customFormat="1" ht="21.6" customHeight="1">
      <c r="A4" s="765" t="s">
        <v>52</v>
      </c>
      <c r="B4" s="555" t="s">
        <v>267</v>
      </c>
      <c r="C4" s="600"/>
      <c r="D4" s="601">
        <v>70000</v>
      </c>
      <c r="E4" s="601">
        <v>97000</v>
      </c>
      <c r="F4" s="601">
        <v>110000</v>
      </c>
      <c r="G4" s="363"/>
      <c r="H4" s="511">
        <f>'3,6 ca mini'!C11</f>
        <v>44554.136831609736</v>
      </c>
      <c r="I4" s="511">
        <f>'3,6 ca mini'!E11</f>
        <v>91299.139218414275</v>
      </c>
      <c r="J4" s="511">
        <f>'3,6 ca mini'!G11</f>
        <v>99075.13921841429</v>
      </c>
      <c r="K4" s="363"/>
    </row>
    <row r="5" spans="1:11" s="17" customFormat="1" ht="21.6" customHeight="1">
      <c r="A5" s="766"/>
      <c r="B5" s="555"/>
      <c r="C5" s="600"/>
      <c r="D5" s="601"/>
      <c r="E5" s="601"/>
      <c r="F5" s="601"/>
      <c r="G5" s="363"/>
      <c r="H5" s="363"/>
      <c r="I5" s="363"/>
      <c r="J5" s="363"/>
      <c r="K5" s="363"/>
    </row>
    <row r="6" spans="1:11" s="17" customFormat="1" ht="21.6" customHeight="1">
      <c r="A6" s="766"/>
      <c r="B6" s="555"/>
      <c r="C6" s="600"/>
      <c r="D6" s="601"/>
      <c r="E6" s="601"/>
      <c r="F6" s="601"/>
      <c r="G6" s="363"/>
      <c r="H6" s="363"/>
      <c r="I6" s="363"/>
      <c r="J6" s="363"/>
      <c r="K6" s="363"/>
    </row>
    <row r="7" spans="1:11" s="17" customFormat="1" ht="21.6" customHeight="1">
      <c r="A7" s="766"/>
      <c r="B7" s="555" t="s">
        <v>0</v>
      </c>
      <c r="C7" s="600"/>
      <c r="D7" s="601" t="s">
        <v>0</v>
      </c>
      <c r="E7" s="601"/>
      <c r="F7" s="601"/>
      <c r="G7" s="363"/>
      <c r="H7" s="363"/>
      <c r="I7" s="363"/>
      <c r="J7" s="363"/>
      <c r="K7" s="363"/>
    </row>
    <row r="8" spans="1:11" s="18" customFormat="1" ht="21.6" customHeight="1">
      <c r="A8" s="766"/>
      <c r="B8" s="602" t="s">
        <v>0</v>
      </c>
      <c r="C8" s="603"/>
      <c r="D8" s="604" t="s">
        <v>0</v>
      </c>
      <c r="E8" s="604"/>
      <c r="F8" s="604"/>
      <c r="G8" s="364"/>
      <c r="H8" s="364"/>
      <c r="I8" s="364"/>
      <c r="J8" s="364"/>
      <c r="K8" s="364"/>
    </row>
    <row r="9" spans="1:11" s="18" customFormat="1" ht="21.6" customHeight="1">
      <c r="A9" s="766"/>
      <c r="B9" s="602" t="s">
        <v>0</v>
      </c>
      <c r="C9" s="603"/>
      <c r="D9" s="604"/>
      <c r="E9" s="604"/>
      <c r="F9" s="604"/>
      <c r="G9" s="364"/>
      <c r="H9" s="364"/>
      <c r="I9" s="364"/>
      <c r="J9" s="364"/>
      <c r="K9" s="364"/>
    </row>
    <row r="10" spans="1:11" s="19" customFormat="1" ht="21.6" customHeight="1">
      <c r="A10" s="716" t="s">
        <v>290</v>
      </c>
      <c r="B10" s="717"/>
      <c r="C10" s="98"/>
      <c r="D10" s="88">
        <f>SUM(D4:D9)</f>
        <v>70000</v>
      </c>
      <c r="E10" s="88">
        <f>SUM(E4:E9)</f>
        <v>97000</v>
      </c>
      <c r="F10" s="88">
        <f>SUM(F4:F9)</f>
        <v>110000</v>
      </c>
      <c r="G10" s="365"/>
      <c r="H10" s="365"/>
      <c r="I10" s="365"/>
      <c r="J10" s="365"/>
      <c r="K10" s="365"/>
    </row>
    <row r="11" spans="1:11" s="17" customFormat="1" ht="21.6" customHeight="1">
      <c r="A11" s="767" t="s">
        <v>53</v>
      </c>
      <c r="B11" s="555" t="s">
        <v>511</v>
      </c>
      <c r="C11" s="605">
        <f>8%</f>
        <v>0.08</v>
      </c>
      <c r="D11" s="100">
        <f>D10*C11</f>
        <v>5600</v>
      </c>
      <c r="E11" s="100">
        <f>E4*C11</f>
        <v>7760</v>
      </c>
      <c r="F11" s="100">
        <f>F4*C11</f>
        <v>8800</v>
      </c>
      <c r="G11" s="363"/>
      <c r="H11" s="363"/>
      <c r="I11" s="363"/>
      <c r="J11" s="363"/>
      <c r="K11" s="363"/>
    </row>
    <row r="12" spans="1:11" s="17" customFormat="1" ht="21.6" customHeight="1">
      <c r="A12" s="768"/>
      <c r="B12" s="95"/>
      <c r="C12" s="99"/>
      <c r="D12" s="282"/>
      <c r="E12" s="282"/>
      <c r="F12" s="282"/>
      <c r="G12" s="363"/>
      <c r="H12" s="363"/>
      <c r="I12" s="363"/>
      <c r="J12" s="363"/>
      <c r="K12" s="363"/>
    </row>
    <row r="13" spans="1:11" s="17" customFormat="1" ht="21.6" customHeight="1">
      <c r="A13" s="768"/>
      <c r="B13" s="84"/>
      <c r="C13" s="102"/>
      <c r="D13" s="103"/>
      <c r="E13" s="97"/>
      <c r="F13" s="103"/>
      <c r="G13" s="363"/>
      <c r="H13" s="363"/>
      <c r="I13" s="363"/>
      <c r="J13" s="363"/>
      <c r="K13" s="363"/>
    </row>
    <row r="14" spans="1:11" s="17" customFormat="1" ht="21.6" customHeight="1">
      <c r="A14" s="768"/>
      <c r="B14" s="95" t="s">
        <v>54</v>
      </c>
      <c r="C14" s="96"/>
      <c r="D14" s="100">
        <f>'3.1 Détails charges fixes'!C12</f>
        <v>670</v>
      </c>
      <c r="E14" s="699">
        <f>'3.1 Détails charges fixes'!D12</f>
        <v>2350</v>
      </c>
      <c r="F14" s="100">
        <f>'3.1 Détails charges fixes'!E12</f>
        <v>2700</v>
      </c>
      <c r="G14" s="363"/>
      <c r="H14" s="363"/>
      <c r="I14" s="363"/>
      <c r="J14" s="363"/>
      <c r="K14" s="363"/>
    </row>
    <row r="15" spans="1:11" s="17" customFormat="1" ht="21.6" customHeight="1">
      <c r="A15" s="768"/>
      <c r="B15" s="95" t="s">
        <v>170</v>
      </c>
      <c r="C15" s="96"/>
      <c r="D15" s="100">
        <f>'3.1 Détails charges fixes'!C24</f>
        <v>3600</v>
      </c>
      <c r="E15" s="100">
        <f>'3.1 Détails charges fixes'!D24</f>
        <v>4130</v>
      </c>
      <c r="F15" s="100">
        <f>'3.1 Détails charges fixes'!E24</f>
        <v>4160</v>
      </c>
      <c r="G15" s="363"/>
      <c r="H15" s="363"/>
      <c r="I15" s="363"/>
      <c r="J15" s="363"/>
      <c r="K15" s="363"/>
    </row>
    <row r="16" spans="1:11" ht="21.6" customHeight="1">
      <c r="A16" s="768"/>
      <c r="B16" s="104" t="s">
        <v>55</v>
      </c>
      <c r="C16" s="105"/>
      <c r="D16" s="100">
        <f>'3.1 Détails charges fixes'!C39</f>
        <v>11870</v>
      </c>
      <c r="E16" s="100">
        <f>'3.1 Détails charges fixes'!D39</f>
        <v>5990</v>
      </c>
      <c r="F16" s="100">
        <f>'3.1 Détails charges fixes'!E39</f>
        <v>6210</v>
      </c>
    </row>
    <row r="17" spans="1:12" s="20" customFormat="1" ht="21.6" customHeight="1">
      <c r="A17" s="768"/>
      <c r="B17" s="95" t="s">
        <v>56</v>
      </c>
      <c r="C17" s="96"/>
      <c r="D17" s="100">
        <f>'3.1 Détails charges fixes'!C50</f>
        <v>470</v>
      </c>
      <c r="E17" s="100">
        <f>'3.1 Détails charges fixes'!D50</f>
        <v>650</v>
      </c>
      <c r="F17" s="100">
        <f>'3.1 Détails charges fixes'!E50</f>
        <v>686</v>
      </c>
      <c r="G17" s="53"/>
      <c r="H17" s="53"/>
      <c r="I17" s="53"/>
      <c r="J17" s="53"/>
      <c r="K17" s="53"/>
    </row>
    <row r="18" spans="1:12" s="20" customFormat="1" ht="21.6" customHeight="1">
      <c r="A18" s="768"/>
      <c r="B18" s="95" t="s">
        <v>57</v>
      </c>
      <c r="C18" s="96"/>
      <c r="D18" s="100">
        <f>'3.1 Détails charges fixes'!C55</f>
        <v>12000</v>
      </c>
      <c r="E18" s="100">
        <f>'3.1 Détails charges fixes'!D55</f>
        <v>48000</v>
      </c>
      <c r="F18" s="100">
        <f>'3.1 Détails charges fixes'!E55</f>
        <v>52800</v>
      </c>
      <c r="G18" s="53"/>
      <c r="H18" s="53"/>
      <c r="I18" s="53"/>
      <c r="J18" s="53"/>
      <c r="K18" s="53"/>
    </row>
    <row r="19" spans="1:12" s="20" customFormat="1" ht="21.6" customHeight="1">
      <c r="A19" s="768"/>
      <c r="B19" s="95" t="s">
        <v>58</v>
      </c>
      <c r="C19" s="96"/>
      <c r="D19" s="100">
        <f>'3.1 Détails charges fixes'!C61</f>
        <v>8520</v>
      </c>
      <c r="E19" s="100">
        <f>'3.1 Détails charges fixes'!D61</f>
        <v>23820</v>
      </c>
      <c r="F19" s="100">
        <f>'3.1 Détails charges fixes'!E61</f>
        <v>26160</v>
      </c>
      <c r="G19" s="53"/>
      <c r="H19" s="53"/>
      <c r="I19" s="53"/>
      <c r="J19" s="53"/>
      <c r="K19" s="53"/>
    </row>
    <row r="20" spans="1:12" s="21" customFormat="1" ht="21.6" customHeight="1">
      <c r="A20" s="768"/>
      <c r="B20" s="95" t="s">
        <v>59</v>
      </c>
      <c r="C20" s="96"/>
      <c r="D20" s="100">
        <f>'3.1 Détails charges fixes'!C65</f>
        <v>1896.6666666666667</v>
      </c>
      <c r="E20" s="100">
        <f>'3.1 Détails charges fixes'!D65</f>
        <v>2416</v>
      </c>
      <c r="F20" s="100">
        <f>'3.1 Détails charges fixes'!E65</f>
        <v>2416</v>
      </c>
      <c r="G20" s="342"/>
      <c r="H20" s="342"/>
      <c r="I20" s="342"/>
      <c r="J20" s="342"/>
      <c r="K20" s="342"/>
    </row>
    <row r="21" spans="1:12" ht="21.6" customHeight="1">
      <c r="A21" s="769"/>
      <c r="B21" s="95" t="s">
        <v>60</v>
      </c>
      <c r="C21" s="96"/>
      <c r="D21" s="100">
        <f>'3.1 Détails charges fixes'!C70</f>
        <v>0</v>
      </c>
      <c r="E21" s="100">
        <f>'3.1 Détails charges fixes'!D70</f>
        <v>0</v>
      </c>
      <c r="F21" s="100">
        <f>'3.1 Détails charges fixes'!E70</f>
        <v>0</v>
      </c>
    </row>
    <row r="22" spans="1:12" s="22" customFormat="1" ht="21.6" customHeight="1" thickBot="1">
      <c r="A22" s="757" t="s">
        <v>289</v>
      </c>
      <c r="B22" s="758"/>
      <c r="C22" s="106"/>
      <c r="D22" s="107">
        <f>SUM(D11:D21)</f>
        <v>44626.666666666664</v>
      </c>
      <c r="E22" s="107">
        <f>SUM(E11:E21)</f>
        <v>95116</v>
      </c>
      <c r="F22" s="107">
        <f>SUM(F11:F21)</f>
        <v>103932</v>
      </c>
      <c r="G22" s="342"/>
      <c r="H22" s="342"/>
      <c r="I22" s="342"/>
      <c r="J22" s="342"/>
      <c r="K22" s="342"/>
    </row>
    <row r="23" spans="1:12" s="23" customFormat="1" ht="21.6" customHeight="1" thickBot="1">
      <c r="A23" s="759" t="s">
        <v>288</v>
      </c>
      <c r="B23" s="760"/>
      <c r="C23" s="108"/>
      <c r="D23" s="109">
        <f>D10-D22</f>
        <v>25373.333333333336</v>
      </c>
      <c r="E23" s="109">
        <f>E10-E22</f>
        <v>1884</v>
      </c>
      <c r="F23" s="110">
        <f>F10-F22</f>
        <v>6068</v>
      </c>
      <c r="G23" s="366"/>
      <c r="H23" s="366"/>
      <c r="I23" s="366"/>
      <c r="J23" s="366"/>
      <c r="K23" s="366"/>
    </row>
    <row r="24" spans="1:12" ht="21.6" customHeight="1">
      <c r="A24" s="761" t="s">
        <v>61</v>
      </c>
      <c r="B24" s="102" t="s">
        <v>62</v>
      </c>
      <c r="C24" s="102"/>
      <c r="D24" s="103">
        <v>0</v>
      </c>
      <c r="E24" s="103"/>
      <c r="F24" s="103"/>
    </row>
    <row r="25" spans="1:12" ht="21.6" customHeight="1">
      <c r="A25" s="761"/>
      <c r="B25" s="93" t="s">
        <v>291</v>
      </c>
      <c r="C25" s="93"/>
      <c r="D25" s="100">
        <f>'3.1 Détails charges fixes'!C72</f>
        <v>322.75602739726025</v>
      </c>
      <c r="E25" s="100">
        <f>'3.1 Détails charges fixes'!D72</f>
        <v>234.34469987260655</v>
      </c>
      <c r="F25" s="100">
        <f>'3.1 Détails charges fixes'!E72</f>
        <v>141.16123673316099</v>
      </c>
    </row>
    <row r="26" spans="1:12" ht="21.6" customHeight="1">
      <c r="A26" s="762"/>
      <c r="B26" s="93" t="s">
        <v>292</v>
      </c>
      <c r="C26" s="93"/>
      <c r="D26" s="100">
        <f>'3.1 Détails charges fixes'!C73</f>
        <v>0</v>
      </c>
      <c r="E26" s="94"/>
      <c r="F26" s="94"/>
    </row>
    <row r="27" spans="1:12" ht="21.6" customHeight="1">
      <c r="A27" s="762"/>
      <c r="B27" s="111" t="s">
        <v>0</v>
      </c>
      <c r="C27" s="111"/>
      <c r="D27" s="112" t="s">
        <v>0</v>
      </c>
      <c r="E27" s="112"/>
      <c r="F27" s="112"/>
    </row>
    <row r="28" spans="1:12" ht="21.6" customHeight="1">
      <c r="A28" s="762"/>
      <c r="B28" s="93" t="s">
        <v>63</v>
      </c>
      <c r="C28" s="93"/>
      <c r="D28" s="94">
        <v>0</v>
      </c>
      <c r="E28" s="94"/>
      <c r="F28" s="94"/>
    </row>
    <row r="29" spans="1:12" ht="21.6" customHeight="1">
      <c r="A29" s="762"/>
      <c r="B29" s="113" t="s">
        <v>64</v>
      </c>
      <c r="C29" s="113"/>
      <c r="D29" s="341">
        <f>'3.1 Détails charges fixes'!C76</f>
        <v>0</v>
      </c>
      <c r="E29" s="341">
        <f>'3.1 Détails charges fixes'!D77</f>
        <v>0</v>
      </c>
      <c r="F29" s="341">
        <f>'3.1 Détails charges fixes'!E77</f>
        <v>0</v>
      </c>
    </row>
    <row r="30" spans="1:12" ht="21.6" customHeight="1">
      <c r="A30" s="762"/>
      <c r="B30" s="113"/>
      <c r="C30" s="113"/>
      <c r="D30" s="114" t="s">
        <v>0</v>
      </c>
      <c r="E30" s="114"/>
      <c r="F30" s="114"/>
    </row>
    <row r="31" spans="1:12" ht="21.6" customHeight="1">
      <c r="A31" s="91"/>
      <c r="B31" s="338" t="s">
        <v>183</v>
      </c>
      <c r="C31" s="339" t="s">
        <v>0</v>
      </c>
      <c r="D31" s="340">
        <f>D23+D24-D25-D26+D28-D29</f>
        <v>25050.577305936076</v>
      </c>
      <c r="E31" s="340">
        <f>E23+E24-E25-E26+E28-E29</f>
        <v>1649.6553001273935</v>
      </c>
      <c r="F31" s="340">
        <f>F23+F24-F25-F26+F28-F29</f>
        <v>5926.8387632668391</v>
      </c>
    </row>
    <row r="32" spans="1:12" ht="21.6" customHeight="1">
      <c r="A32" s="91"/>
      <c r="B32" s="115" t="s">
        <v>314</v>
      </c>
      <c r="C32" s="116"/>
      <c r="D32" s="671">
        <f>D39</f>
        <v>3757.5865958904114</v>
      </c>
      <c r="E32" s="671">
        <f>E39</f>
        <v>247.44829501910903</v>
      </c>
      <c r="F32" s="103">
        <f>F39</f>
        <v>889.02581449002582</v>
      </c>
      <c r="H32" s="368" t="s">
        <v>404</v>
      </c>
      <c r="I32" s="369"/>
      <c r="J32" s="369"/>
      <c r="K32" s="369"/>
      <c r="L32" s="370"/>
    </row>
    <row r="33" spans="1:12" ht="21.6" customHeight="1" thickBot="1">
      <c r="A33" s="91"/>
      <c r="B33" s="115"/>
      <c r="C33" s="116" t="s">
        <v>0</v>
      </c>
      <c r="D33" s="103">
        <v>0</v>
      </c>
      <c r="E33" s="103">
        <v>0</v>
      </c>
      <c r="F33" s="671">
        <v>0</v>
      </c>
      <c r="H33" s="368" t="s">
        <v>403</v>
      </c>
      <c r="I33" s="369"/>
      <c r="J33" s="369"/>
      <c r="K33" s="369"/>
      <c r="L33" s="370"/>
    </row>
    <row r="34" spans="1:12" s="24" customFormat="1" ht="21.6" customHeight="1" thickBot="1">
      <c r="A34" s="763" t="s">
        <v>287</v>
      </c>
      <c r="B34" s="764"/>
      <c r="C34" s="117"/>
      <c r="D34" s="118">
        <f>D31-D32</f>
        <v>21292.990710045666</v>
      </c>
      <c r="E34" s="118">
        <f>E31-E32</f>
        <v>1402.2070051082844</v>
      </c>
      <c r="F34" s="119">
        <f>F31-F32</f>
        <v>5037.8129487768128</v>
      </c>
      <c r="G34" s="367"/>
      <c r="H34" s="367"/>
      <c r="I34" s="367"/>
      <c r="J34" s="367"/>
      <c r="K34" s="367"/>
    </row>
    <row r="35" spans="1:12" ht="21.95" customHeight="1"/>
    <row r="36" spans="1:12" ht="21.95" customHeight="1" thickBot="1">
      <c r="A36" s="91"/>
      <c r="B36" s="125"/>
      <c r="C36" s="125"/>
      <c r="D36" s="139"/>
      <c r="E36" s="139"/>
      <c r="F36" s="139"/>
    </row>
    <row r="37" spans="1:12" ht="21.95" customHeight="1" thickBot="1">
      <c r="A37" s="91"/>
      <c r="B37" s="321" t="s">
        <v>296</v>
      </c>
      <c r="C37" s="125"/>
      <c r="D37" s="139"/>
      <c r="E37" s="139"/>
      <c r="F37" s="139"/>
    </row>
    <row r="38" spans="1:12" ht="21.95" customHeight="1" thickBot="1">
      <c r="A38" s="91"/>
      <c r="B38" s="327" t="s">
        <v>294</v>
      </c>
      <c r="C38" s="125"/>
      <c r="D38" s="139"/>
      <c r="E38" s="139"/>
      <c r="F38" s="139"/>
    </row>
    <row r="39" spans="1:12" ht="21.95" customHeight="1" thickBot="1">
      <c r="A39" s="91"/>
      <c r="B39" s="327" t="s">
        <v>481</v>
      </c>
      <c r="C39" s="92" t="s">
        <v>283</v>
      </c>
      <c r="D39" s="322">
        <f>IF(D31&gt;0,IF(D31&lt;=38120,D31*15%,(15%*38120)+(D31-38120)*33.33%),0)</f>
        <v>3757.5865958904114</v>
      </c>
      <c r="E39" s="322">
        <f>IF(E31&gt;0,IF(E31&lt;=38120,E31*15%,(15%*38120)+(E31-38120)*33.33%),0)</f>
        <v>247.44829501910903</v>
      </c>
      <c r="F39" s="322">
        <f>IF(F31&gt;0,IF(F31&lt;=38120,F31*15%,(15%*38120)+(F31-38120)*33.33%),0)</f>
        <v>889.02581449002582</v>
      </c>
    </row>
    <row r="40" spans="1:12" ht="21.95" customHeight="1">
      <c r="A40" s="91"/>
      <c r="B40" s="327" t="s">
        <v>482</v>
      </c>
      <c r="C40" s="92"/>
      <c r="D40"/>
      <c r="E40" s="139"/>
      <c r="F40" s="139"/>
    </row>
    <row r="41" spans="1:12" ht="21.95" customHeight="1">
      <c r="A41" s="91"/>
      <c r="B41" s="327"/>
      <c r="C41" s="92"/>
      <c r="D41"/>
      <c r="E41" s="139"/>
      <c r="F41" s="139"/>
    </row>
    <row r="42" spans="1:12" ht="21.95" customHeight="1" thickBot="1">
      <c r="A42" s="91"/>
      <c r="B42" s="327" t="s">
        <v>295</v>
      </c>
      <c r="C42" s="125"/>
      <c r="D42" s="139"/>
      <c r="E42" s="139"/>
      <c r="F42" s="139"/>
    </row>
    <row r="43" spans="1:12" ht="21.95" customHeight="1" thickBot="1">
      <c r="A43" s="91"/>
      <c r="B43" s="327" t="s">
        <v>483</v>
      </c>
      <c r="C43" s="92" t="s">
        <v>283</v>
      </c>
      <c r="D43" s="322">
        <f>IF(D31&gt;0,D31*33.33%,0)</f>
        <v>8349.357416068493</v>
      </c>
      <c r="E43" s="322">
        <f>IF(E31&gt;0,E31*33.33%,0)</f>
        <v>549.83011153246025</v>
      </c>
      <c r="F43" s="322">
        <f>IF(F31&gt;0,F31*33.33%,0)</f>
        <v>1975.4153597968375</v>
      </c>
    </row>
    <row r="44" spans="1:12" ht="21.95" customHeight="1">
      <c r="A44" s="91"/>
      <c r="B44" s="125"/>
      <c r="C44" s="125"/>
      <c r="D44" s="139"/>
      <c r="E44" s="139"/>
      <c r="F44" s="139"/>
    </row>
    <row r="45" spans="1:12" ht="21.95" customHeight="1">
      <c r="A45" s="91"/>
      <c r="B45" s="125"/>
      <c r="C45" s="125"/>
      <c r="D45" s="139"/>
      <c r="E45" s="139"/>
      <c r="F45" s="139"/>
    </row>
    <row r="46" spans="1:12" ht="21.95" customHeight="1">
      <c r="A46" s="91"/>
      <c r="B46" s="125"/>
      <c r="C46" s="125"/>
      <c r="D46" s="139"/>
      <c r="E46" s="139"/>
      <c r="F46" s="139"/>
    </row>
    <row r="47" spans="1:12" ht="21.95" customHeight="1">
      <c r="A47"/>
      <c r="B47"/>
      <c r="C47"/>
      <c r="D47"/>
      <c r="E47"/>
      <c r="F47"/>
      <c r="G47" s="69"/>
      <c r="H47" s="69"/>
      <c r="I47" s="69"/>
      <c r="J47" s="69"/>
    </row>
    <row r="48" spans="1:12" ht="21.95" customHeight="1">
      <c r="A48"/>
      <c r="B48"/>
      <c r="C48"/>
      <c r="D48"/>
      <c r="E48"/>
      <c r="F48"/>
      <c r="G48" s="69"/>
      <c r="H48" s="69"/>
      <c r="I48" s="69"/>
      <c r="J48" s="69"/>
    </row>
    <row r="49" spans="1:10" ht="21.95" customHeight="1">
      <c r="A49"/>
      <c r="B49"/>
      <c r="C49"/>
      <c r="D49"/>
      <c r="E49"/>
      <c r="F49"/>
      <c r="G49" s="69"/>
      <c r="H49" s="69"/>
      <c r="I49" s="69"/>
      <c r="J49" s="69"/>
    </row>
    <row r="50" spans="1:10" ht="21.95" customHeight="1">
      <c r="A50"/>
      <c r="B50"/>
      <c r="C50"/>
      <c r="D50"/>
      <c r="E50"/>
      <c r="F50"/>
      <c r="G50" s="69"/>
      <c r="H50" s="69"/>
      <c r="I50" s="69"/>
      <c r="J50" s="69"/>
    </row>
    <row r="51" spans="1:10" ht="21.95" customHeight="1">
      <c r="A51"/>
      <c r="B51"/>
      <c r="C51"/>
      <c r="D51"/>
      <c r="E51"/>
      <c r="F51"/>
      <c r="G51" s="69"/>
      <c r="H51" s="69"/>
      <c r="I51" s="69"/>
      <c r="J51" s="69"/>
    </row>
    <row r="52" spans="1:10" ht="21.95" customHeight="1">
      <c r="A52"/>
      <c r="B52"/>
      <c r="C52"/>
      <c r="D52"/>
      <c r="E52"/>
      <c r="F52"/>
      <c r="G52" s="69"/>
      <c r="H52" s="69"/>
      <c r="I52" s="69"/>
      <c r="J52" s="69"/>
    </row>
    <row r="53" spans="1:10" ht="21.95" customHeight="1">
      <c r="A53"/>
      <c r="B53"/>
      <c r="C53"/>
      <c r="D53"/>
      <c r="E53"/>
      <c r="F53"/>
      <c r="G53" s="69"/>
      <c r="H53" s="69"/>
      <c r="I53" s="69"/>
      <c r="J53" s="69"/>
    </row>
    <row r="54" spans="1:10" ht="21.95" customHeight="1">
      <c r="A54"/>
      <c r="B54"/>
      <c r="C54"/>
      <c r="D54"/>
      <c r="E54"/>
      <c r="F54"/>
      <c r="G54" s="69"/>
      <c r="H54" s="69"/>
      <c r="I54" s="69"/>
      <c r="J54" s="69"/>
    </row>
    <row r="55" spans="1:10" ht="21.95" customHeight="1">
      <c r="A55"/>
      <c r="B55"/>
      <c r="C55"/>
      <c r="D55"/>
      <c r="E55"/>
      <c r="F55"/>
      <c r="G55" s="69"/>
      <c r="H55" s="69"/>
      <c r="I55" s="69"/>
      <c r="J55" s="69"/>
    </row>
    <row r="56" spans="1:10" ht="21.95" customHeight="1">
      <c r="A56"/>
      <c r="B56"/>
      <c r="C56"/>
      <c r="D56"/>
      <c r="E56"/>
      <c r="F56"/>
      <c r="G56" s="69"/>
      <c r="H56" s="69"/>
      <c r="I56" s="69"/>
      <c r="J56" s="69"/>
    </row>
    <row r="57" spans="1:10" ht="21.95" customHeight="1">
      <c r="A57"/>
      <c r="B57"/>
      <c r="C57"/>
      <c r="D57"/>
      <c r="E57"/>
      <c r="F57"/>
      <c r="G57" s="69"/>
      <c r="H57" s="69"/>
      <c r="I57" s="69"/>
      <c r="J57" s="69"/>
    </row>
    <row r="58" spans="1:10" ht="21.95" customHeight="1">
      <c r="A58"/>
      <c r="B58"/>
      <c r="C58"/>
      <c r="D58"/>
      <c r="E58"/>
      <c r="F58"/>
      <c r="G58" s="69"/>
      <c r="H58" s="69"/>
      <c r="I58" s="69"/>
      <c r="J58" s="69"/>
    </row>
    <row r="59" spans="1:10" ht="21.95" customHeight="1">
      <c r="A59"/>
      <c r="B59"/>
      <c r="C59"/>
      <c r="D59"/>
      <c r="E59"/>
      <c r="F59"/>
      <c r="G59" s="69"/>
      <c r="H59" s="69"/>
      <c r="I59" s="69"/>
      <c r="J59" s="69"/>
    </row>
    <row r="60" spans="1:10" ht="21.95" customHeight="1">
      <c r="A60"/>
      <c r="B60"/>
      <c r="C60"/>
      <c r="D60"/>
      <c r="E60"/>
      <c r="F60"/>
      <c r="G60" s="69"/>
      <c r="H60" s="69"/>
      <c r="I60" s="69"/>
    </row>
    <row r="61" spans="1:10" ht="21.95" customHeight="1">
      <c r="A61"/>
      <c r="B61"/>
      <c r="C61"/>
      <c r="D61"/>
      <c r="E61"/>
      <c r="F61"/>
      <c r="G61" s="69"/>
      <c r="H61" s="69"/>
      <c r="I61" s="69"/>
      <c r="J61" s="69"/>
    </row>
    <row r="62" spans="1:10" ht="21.95" customHeight="1">
      <c r="A62"/>
      <c r="B62"/>
      <c r="C62"/>
      <c r="D62"/>
      <c r="E62"/>
      <c r="F62"/>
      <c r="G62" s="69"/>
      <c r="H62" s="69"/>
      <c r="I62" s="69"/>
      <c r="J62" s="69"/>
    </row>
    <row r="63" spans="1:10" ht="21.95" customHeight="1">
      <c r="A63"/>
      <c r="B63"/>
      <c r="C63"/>
      <c r="D63"/>
      <c r="E63"/>
      <c r="F63"/>
      <c r="G63" s="69"/>
      <c r="H63" s="69"/>
      <c r="I63" s="69"/>
    </row>
    <row r="64" spans="1:10" ht="21.95" customHeight="1">
      <c r="A64"/>
      <c r="B64"/>
      <c r="C64"/>
      <c r="D64"/>
      <c r="E64"/>
      <c r="F64"/>
      <c r="G64" s="69"/>
      <c r="H64" s="69"/>
      <c r="I64" s="69"/>
      <c r="J64" s="69"/>
    </row>
    <row r="65" spans="1:10" ht="21.95" customHeight="1">
      <c r="A65"/>
      <c r="B65"/>
      <c r="C65"/>
      <c r="D65"/>
      <c r="E65"/>
      <c r="F65"/>
      <c r="G65" s="69"/>
      <c r="H65" s="69"/>
      <c r="I65" s="69"/>
      <c r="J65" s="69"/>
    </row>
    <row r="66" spans="1:10" ht="21.95" customHeight="1">
      <c r="A66"/>
      <c r="B66"/>
      <c r="C66"/>
      <c r="D66"/>
      <c r="E66"/>
      <c r="F66"/>
      <c r="G66" s="69"/>
      <c r="H66" s="69"/>
      <c r="I66" s="69"/>
      <c r="J66" s="69"/>
    </row>
    <row r="67" spans="1:10" ht="21.95" customHeight="1">
      <c r="A67"/>
      <c r="B67"/>
      <c r="C67"/>
      <c r="D67"/>
      <c r="E67"/>
      <c r="F67"/>
      <c r="G67" s="69"/>
      <c r="H67" s="69"/>
      <c r="I67" s="69"/>
      <c r="J67" s="69"/>
    </row>
    <row r="68" spans="1:10" ht="21.95" customHeight="1">
      <c r="A68"/>
      <c r="B68"/>
      <c r="C68"/>
      <c r="D68"/>
      <c r="E68"/>
      <c r="F68"/>
      <c r="G68" s="69"/>
      <c r="H68" s="69"/>
      <c r="I68" s="69"/>
      <c r="J68" s="69"/>
    </row>
    <row r="69" spans="1:10" ht="21.95" customHeight="1">
      <c r="A69" s="91"/>
      <c r="B69" s="125"/>
      <c r="C69" s="125"/>
      <c r="D69" s="139"/>
      <c r="E69" s="139"/>
      <c r="F69" s="139"/>
      <c r="H69" s="69"/>
      <c r="I69" s="69"/>
      <c r="J69" s="69"/>
    </row>
    <row r="70" spans="1:10" ht="21.95" customHeight="1">
      <c r="A70" s="91"/>
      <c r="B70" s="125"/>
      <c r="C70" s="125"/>
      <c r="D70" s="139"/>
      <c r="E70" s="139"/>
      <c r="F70" s="139"/>
      <c r="H70" s="69"/>
      <c r="I70" s="69"/>
      <c r="J70" s="69"/>
    </row>
    <row r="71" spans="1:10" ht="21.95" customHeight="1">
      <c r="A71" s="91"/>
      <c r="B71" s="125"/>
      <c r="C71" s="125"/>
      <c r="D71" s="139"/>
      <c r="E71" s="139"/>
      <c r="F71" s="139"/>
      <c r="H71" s="69"/>
      <c r="I71" s="69"/>
      <c r="J71" s="69"/>
    </row>
    <row r="72" spans="1:10" ht="21.95" customHeight="1">
      <c r="A72" s="91"/>
      <c r="B72" s="125"/>
      <c r="C72" s="125"/>
      <c r="D72" s="139"/>
      <c r="E72"/>
      <c r="F72" s="139"/>
      <c r="H72" s="69"/>
      <c r="I72" s="69"/>
      <c r="J72" s="69"/>
    </row>
    <row r="73" spans="1:10" ht="21.95" customHeight="1">
      <c r="A73" s="91"/>
      <c r="B73" s="125"/>
      <c r="C73" s="125"/>
      <c r="D73" s="139"/>
      <c r="E73"/>
      <c r="F73" s="139"/>
      <c r="H73" s="69"/>
      <c r="I73" s="69"/>
      <c r="J73" s="69"/>
    </row>
    <row r="74" spans="1:10" ht="21.95" customHeight="1">
      <c r="A74" s="91"/>
      <c r="B74" s="125"/>
      <c r="C74" s="125"/>
      <c r="D74" s="139"/>
      <c r="E74" s="139"/>
      <c r="F74" s="139"/>
    </row>
    <row r="75" spans="1:10" ht="21.95" customHeight="1">
      <c r="A75"/>
      <c r="B75"/>
      <c r="C75"/>
      <c r="D75"/>
      <c r="E75"/>
      <c r="F75"/>
    </row>
    <row r="76" spans="1:10" ht="21.95" customHeight="1">
      <c r="A76"/>
      <c r="B76"/>
      <c r="C76"/>
      <c r="D76"/>
      <c r="E76"/>
      <c r="F76"/>
    </row>
    <row r="77" spans="1:10">
      <c r="A77"/>
      <c r="B77"/>
      <c r="C77"/>
      <c r="D77"/>
      <c r="E77"/>
      <c r="F77"/>
    </row>
    <row r="78" spans="1:10">
      <c r="A78"/>
      <c r="B78"/>
      <c r="C78"/>
      <c r="D78"/>
      <c r="E78"/>
      <c r="F78"/>
    </row>
    <row r="79" spans="1:10">
      <c r="A79"/>
      <c r="B79"/>
      <c r="C79"/>
      <c r="D79"/>
      <c r="E79"/>
      <c r="F79"/>
    </row>
    <row r="80" spans="1:10">
      <c r="A80"/>
      <c r="B80"/>
      <c r="C80"/>
      <c r="D80"/>
      <c r="E80"/>
      <c r="F80"/>
    </row>
    <row r="81" spans="1:7">
      <c r="A81"/>
      <c r="B81"/>
      <c r="C81"/>
      <c r="D81"/>
      <c r="E81"/>
      <c r="F81"/>
    </row>
    <row r="82" spans="1:7">
      <c r="A82"/>
      <c r="B82"/>
      <c r="C82"/>
      <c r="D82"/>
      <c r="E82"/>
      <c r="F82"/>
    </row>
    <row r="83" spans="1:7">
      <c r="A83"/>
      <c r="B83"/>
      <c r="C83"/>
      <c r="D83"/>
      <c r="E83"/>
      <c r="F83"/>
    </row>
    <row r="84" spans="1:7">
      <c r="A84"/>
      <c r="B84"/>
      <c r="C84"/>
      <c r="D84"/>
      <c r="E84"/>
      <c r="F84"/>
    </row>
    <row r="85" spans="1:7">
      <c r="A85"/>
      <c r="B85"/>
      <c r="C85"/>
      <c r="D85"/>
      <c r="E85"/>
      <c r="F85"/>
    </row>
    <row r="86" spans="1:7">
      <c r="A86"/>
      <c r="B86"/>
      <c r="C86"/>
      <c r="D86"/>
      <c r="E86"/>
      <c r="F86"/>
      <c r="G86" s="69"/>
    </row>
    <row r="87" spans="1:7">
      <c r="A87"/>
      <c r="B87"/>
      <c r="C87"/>
      <c r="D87"/>
      <c r="E87"/>
      <c r="F87"/>
      <c r="G87" s="69"/>
    </row>
    <row r="88" spans="1:7">
      <c r="A88"/>
      <c r="B88"/>
      <c r="C88"/>
      <c r="D88"/>
      <c r="E88"/>
      <c r="F88"/>
      <c r="G88" s="69"/>
    </row>
    <row r="89" spans="1:7">
      <c r="A89"/>
      <c r="B89"/>
      <c r="C89"/>
      <c r="D89"/>
      <c r="E89"/>
      <c r="F89"/>
      <c r="G89" s="69"/>
    </row>
    <row r="90" spans="1:7">
      <c r="A90"/>
      <c r="B90"/>
      <c r="C90"/>
      <c r="D90"/>
      <c r="E90"/>
      <c r="F90"/>
      <c r="G90" s="69"/>
    </row>
    <row r="91" spans="1:7">
      <c r="A91"/>
      <c r="B91"/>
      <c r="C91"/>
      <c r="D91"/>
      <c r="E91"/>
      <c r="F91"/>
      <c r="G91" s="69"/>
    </row>
    <row r="92" spans="1:7">
      <c r="A92"/>
      <c r="B92"/>
      <c r="C92"/>
      <c r="D92"/>
      <c r="E92"/>
      <c r="F92"/>
      <c r="G92" s="69"/>
    </row>
    <row r="93" spans="1:7">
      <c r="A93"/>
      <c r="B93"/>
      <c r="C93"/>
      <c r="D93"/>
      <c r="E93"/>
      <c r="F93"/>
      <c r="G93" s="69"/>
    </row>
    <row r="94" spans="1:7">
      <c r="A94"/>
      <c r="B94"/>
      <c r="C94"/>
      <c r="D94"/>
      <c r="E94"/>
      <c r="F94"/>
      <c r="G94" s="69"/>
    </row>
    <row r="95" spans="1:7">
      <c r="A95"/>
      <c r="B95"/>
      <c r="C95"/>
      <c r="D95"/>
      <c r="E95"/>
      <c r="F95"/>
      <c r="G95" s="69"/>
    </row>
    <row r="96" spans="1:7">
      <c r="A96"/>
      <c r="B96"/>
      <c r="C96"/>
      <c r="D96"/>
      <c r="E96"/>
      <c r="F96"/>
      <c r="G96" s="69"/>
    </row>
    <row r="97" spans="1:7">
      <c r="A97"/>
      <c r="B97"/>
      <c r="C97"/>
      <c r="D97"/>
      <c r="E97"/>
      <c r="F97"/>
      <c r="G97" s="69"/>
    </row>
  </sheetData>
  <sheetProtection password="EFA0" sheet="1" objects="1" scenarios="1" formatCells="0"/>
  <mergeCells count="9">
    <mergeCell ref="A22:B22"/>
    <mergeCell ref="A23:B23"/>
    <mergeCell ref="A24:A30"/>
    <mergeCell ref="A34:B34"/>
    <mergeCell ref="B1:F1"/>
    <mergeCell ref="A4:A9"/>
    <mergeCell ref="A10:B10"/>
    <mergeCell ref="A11:A21"/>
    <mergeCell ref="A2:C2"/>
  </mergeCells>
  <phoneticPr fontId="0" type="noConversion"/>
  <printOptions horizontalCentered="1"/>
  <pageMargins left="0.31496062992125984" right="0.31496062992125984" top="0.62992125984251968" bottom="0.6692913385826772" header="0.43307086614173229" footer="0.51181102362204722"/>
  <pageSetup paperSize="9" scale="95" orientation="portrait" horizontalDpi="4294967295" r:id="rId1"/>
  <headerFooter alignWithMargins="0">
    <oddHeader>&amp;R3,0</oddHeader>
    <oddFooter>&amp;Limprimé 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theme="8" tint="0.39997558519241921"/>
  </sheetPr>
  <dimension ref="A1:E25"/>
  <sheetViews>
    <sheetView zoomScale="75" workbookViewId="0">
      <selection activeCell="I14" sqref="I14"/>
    </sheetView>
  </sheetViews>
  <sheetFormatPr baseColWidth="10" defaultRowHeight="12.75"/>
  <cols>
    <col min="1" max="1" width="34.7109375" customWidth="1"/>
    <col min="3" max="3" width="14.28515625" customWidth="1"/>
    <col min="4" max="4" width="15" customWidth="1"/>
    <col min="5" max="5" width="14.85546875" customWidth="1"/>
  </cols>
  <sheetData>
    <row r="1" spans="1:5" ht="13.5" thickBot="1"/>
    <row r="2" spans="1:5" ht="23.25" thickBot="1">
      <c r="A2" s="336" t="s">
        <v>284</v>
      </c>
      <c r="B2" s="337"/>
      <c r="C2" s="301"/>
      <c r="D2" s="301"/>
      <c r="E2" s="302"/>
    </row>
    <row r="4" spans="1:5" ht="15">
      <c r="A4" s="393" t="s">
        <v>424</v>
      </c>
    </row>
    <row r="8" spans="1:5" ht="18">
      <c r="A8" s="329"/>
      <c r="B8" s="330"/>
      <c r="C8" s="333" t="s">
        <v>49</v>
      </c>
      <c r="D8" s="333" t="s">
        <v>50</v>
      </c>
      <c r="E8" s="333" t="s">
        <v>51</v>
      </c>
    </row>
    <row r="9" spans="1:5" ht="16.5">
      <c r="A9" s="517" t="s">
        <v>285</v>
      </c>
      <c r="B9" s="332"/>
      <c r="C9" s="101">
        <f>'3.0 Compte de résultat'!D34</f>
        <v>21292.990710045666</v>
      </c>
      <c r="D9" s="101">
        <f>'3.0 Compte de résultat'!E34</f>
        <v>1402.2070051082844</v>
      </c>
      <c r="E9" s="101">
        <f>'3.0 Compte de résultat'!F34</f>
        <v>5037.8129487768128</v>
      </c>
    </row>
    <row r="10" spans="1:5" ht="16.5">
      <c r="A10" s="517"/>
      <c r="B10" s="332"/>
      <c r="C10" s="97"/>
      <c r="D10" s="94"/>
      <c r="E10" s="94"/>
    </row>
    <row r="11" spans="1:5" ht="16.5">
      <c r="A11" s="517" t="s">
        <v>59</v>
      </c>
      <c r="B11" s="332"/>
      <c r="C11" s="100">
        <f>'3.0 Compte de résultat'!D20</f>
        <v>1896.6666666666667</v>
      </c>
      <c r="D11" s="100">
        <f>'3.0 Compte de résultat'!E20</f>
        <v>2416</v>
      </c>
      <c r="E11" s="100">
        <f>'3.0 Compte de résultat'!F20</f>
        <v>2416</v>
      </c>
    </row>
    <row r="12" spans="1:5" ht="16.5">
      <c r="A12" s="331"/>
      <c r="B12" s="332"/>
      <c r="C12" s="97" t="s">
        <v>0</v>
      </c>
      <c r="D12" s="97"/>
      <c r="E12" s="97"/>
    </row>
    <row r="13" spans="1:5" ht="16.5">
      <c r="A13" s="331"/>
      <c r="B13" s="332"/>
      <c r="C13" s="97"/>
      <c r="D13" s="97"/>
      <c r="E13" s="97"/>
    </row>
    <row r="14" spans="1:5" ht="19.5">
      <c r="A14" s="334" t="s">
        <v>286</v>
      </c>
      <c r="B14" s="335"/>
      <c r="C14" s="328">
        <f>C9+C11</f>
        <v>23189.657376712334</v>
      </c>
      <c r="D14" s="328">
        <f>D9+D11</f>
        <v>3818.2070051082846</v>
      </c>
      <c r="E14" s="328">
        <f>E9+E11</f>
        <v>7453.8129487768128</v>
      </c>
    </row>
    <row r="15" spans="1:5" ht="16.5">
      <c r="A15" s="331"/>
      <c r="B15" s="332"/>
      <c r="C15" s="97"/>
      <c r="D15" s="97"/>
      <c r="E15" s="97"/>
    </row>
    <row r="16" spans="1:5" ht="16.5">
      <c r="A16" s="331"/>
      <c r="B16" s="332"/>
      <c r="C16" s="286"/>
      <c r="D16" s="286"/>
      <c r="E16" s="286"/>
    </row>
    <row r="17" spans="1:5" ht="18">
      <c r="A17" s="771" t="s">
        <v>293</v>
      </c>
      <c r="B17" s="772"/>
      <c r="C17" s="328">
        <f>'3,131 int emprunts'!D6+'3,131 int emprunts'!D20+'3,131 int emprunts'!K20</f>
        <v>1963.1392184142865</v>
      </c>
      <c r="D17" s="328">
        <f>'3,131 int emprunts'!D6+'3,131 int emprunts'!D20+'3,131 int emprunts'!K20</f>
        <v>1963.1392184142865</v>
      </c>
      <c r="E17" s="328">
        <f>'3,131 int emprunts'!D6+'3,131 int emprunts'!D20+'3,131 int emprunts'!K20</f>
        <v>1963.1392184142865</v>
      </c>
    </row>
    <row r="19" spans="1:5" ht="20.100000000000001" customHeight="1">
      <c r="A19" s="771" t="s">
        <v>512</v>
      </c>
      <c r="B19" s="772"/>
      <c r="C19" s="700">
        <f>C14/C17</f>
        <v>11.81253838708578</v>
      </c>
      <c r="D19" s="700">
        <f>D14/D17</f>
        <v>1.9449496853271657</v>
      </c>
      <c r="E19" s="700">
        <f>E14/E17</f>
        <v>3.7968845402607685</v>
      </c>
    </row>
    <row r="24" spans="1:5" ht="13.5" thickBot="1"/>
    <row r="25" spans="1:5" ht="24.75" customHeight="1" thickBot="1">
      <c r="A25" s="516" t="str">
        <f>IF(C14&gt;C17*2," CAF OK ","ATTENTION CAF INSUFFISANTE !")</f>
        <v xml:space="preserve"> CAF OK </v>
      </c>
      <c r="B25" s="479"/>
    </row>
  </sheetData>
  <mergeCells count="2">
    <mergeCell ref="A19:B19"/>
    <mergeCell ref="A17:B1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4294967292"/>
  <headerFooter alignWithMargins="0">
    <oddHeader>&amp;R3,01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32</vt:i4>
      </vt:variant>
    </vt:vector>
  </HeadingPairs>
  <TitlesOfParts>
    <vt:vector size="52" baseType="lpstr">
      <vt:lpstr>Introduction</vt:lpstr>
      <vt:lpstr>1.0 Plan de financement</vt:lpstr>
      <vt:lpstr>1.0b Plan de financement RPI</vt:lpstr>
      <vt:lpstr>1.1 Détails Investissements</vt:lpstr>
      <vt:lpstr>1.2 Détails stocks</vt:lpstr>
      <vt:lpstr>1.3 Ma trésorerie de départ</vt:lpstr>
      <vt:lpstr>1,31 BFR</vt:lpstr>
      <vt:lpstr>3.0 Compte de résultat</vt:lpstr>
      <vt:lpstr>3,01 caf</vt:lpstr>
      <vt:lpstr>3.1 Détails charges fixes</vt:lpstr>
      <vt:lpstr>3,10 sal</vt:lpstr>
      <vt:lpstr>3,12 amort</vt:lpstr>
      <vt:lpstr>3,131 int emprunts</vt:lpstr>
      <vt:lpstr>3,6 ca mini</vt:lpstr>
      <vt:lpstr>3,5 coeff-taux</vt:lpstr>
      <vt:lpstr>3,51 taux pond</vt:lpstr>
      <vt:lpstr>4 trésorerie</vt:lpstr>
      <vt:lpstr>5,0 Analyses</vt:lpstr>
      <vt:lpstr>5,1 SIG</vt:lpstr>
      <vt:lpstr>facturation</vt:lpstr>
      <vt:lpstr>assurprof</vt:lpstr>
      <vt:lpstr>avocat</vt:lpstr>
      <vt:lpstr>carburant</vt:lpstr>
      <vt:lpstr>cotsal</vt:lpstr>
      <vt:lpstr>cottns</vt:lpstr>
      <vt:lpstr>docref</vt:lpstr>
      <vt:lpstr>expcptbe</vt:lpstr>
      <vt:lpstr>fournbur</vt:lpstr>
      <vt:lpstr>fraisbqe</vt:lpstr>
      <vt:lpstr>fraisdep</vt:lpstr>
      <vt:lpstr>fraispost</vt:lpstr>
      <vt:lpstr>frrecp</vt:lpstr>
      <vt:lpstr>impots</vt:lpstr>
      <vt:lpstr>loimadelin</vt:lpstr>
      <vt:lpstr>loyer</vt:lpstr>
      <vt:lpstr>prodent</vt:lpstr>
      <vt:lpstr>salpersonnel</vt:lpstr>
      <vt:lpstr>tél</vt:lpstr>
      <vt:lpstr>'1,31 BFR'!Zone_d_impression</vt:lpstr>
      <vt:lpstr>'1.0 Plan de financement'!Zone_d_impression</vt:lpstr>
      <vt:lpstr>'1.0b Plan de financement RPI'!Zone_d_impression</vt:lpstr>
      <vt:lpstr>'1.1 Détails Investissements'!Zone_d_impression</vt:lpstr>
      <vt:lpstr>'1.2 Détails stocks'!Zone_d_impression</vt:lpstr>
      <vt:lpstr>'1.3 Ma trésorerie de départ'!Zone_d_impression</vt:lpstr>
      <vt:lpstr>'3,01 caf'!Zone_d_impression</vt:lpstr>
      <vt:lpstr>'3,5 coeff-taux'!Zone_d_impression</vt:lpstr>
      <vt:lpstr>'3,51 taux pond'!Zone_d_impression</vt:lpstr>
      <vt:lpstr>'3,6 ca mini'!Zone_d_impression</vt:lpstr>
      <vt:lpstr>'3.0 Compte de résultat'!Zone_d_impression</vt:lpstr>
      <vt:lpstr>'3.1 Détails charges fixes'!Zone_d_impression</vt:lpstr>
      <vt:lpstr>'4 trésorerie'!Zone_d_impression</vt:lpstr>
      <vt:lpstr>'5,1 SIG'!Zone_d_impression</vt:lpstr>
    </vt:vector>
  </TitlesOfParts>
  <Company>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</dc:creator>
  <cp:lastModifiedBy>habiba</cp:lastModifiedBy>
  <cp:lastPrinted>2011-04-29T13:27:37Z</cp:lastPrinted>
  <dcterms:created xsi:type="dcterms:W3CDTF">2002-08-06T13:39:43Z</dcterms:created>
  <dcterms:modified xsi:type="dcterms:W3CDTF">2012-06-25T21:32:18Z</dcterms:modified>
</cp:coreProperties>
</file>